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Экономист\Desktop\СТЕНД\"/>
    </mc:Choice>
  </mc:AlternateContent>
  <xr:revisionPtr revIDLastSave="0" documentId="13_ncr:1_{FCE38A7F-1C4C-4BFB-A49B-5CD16D1163F7}" xr6:coauthVersionLast="45" xr6:coauthVersionMax="45" xr10:uidLastSave="{00000000-0000-0000-0000-000000000000}"/>
  <bookViews>
    <workbookView xWindow="-108" yWindow="-108" windowWidth="23256" windowHeight="12600" activeTab="3" xr2:uid="{00000000-000D-0000-FFFF-FFFF00000000}"/>
  </bookViews>
  <sheets>
    <sheet name="СТЕНД  4 квартал 2023 " sheetId="6" r:id="rId1"/>
    <sheet name="СТЕНД  3 квартал 2023 " sheetId="4" r:id="rId2"/>
    <sheet name="СТЕНД  2 квартал 2023" sheetId="3" r:id="rId3"/>
    <sheet name="СТЕНД  3 квартал 2024" sheetId="1" r:id="rId4"/>
    <sheet name="Лист1" sheetId="2" r:id="rId5"/>
  </sheets>
  <definedNames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_xlnm.Print_Area" localSheetId="2">'СТЕНД  2 квартал 2023'!$A$1:$W$196</definedName>
    <definedName name="_xlnm.Print_Area" localSheetId="3">'СТЕНД  3 квартал 2024'!$A$1:$K$68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/>
  <c r="K59" i="1" s="1"/>
  <c r="K47" i="1"/>
  <c r="K55" i="1"/>
  <c r="K56" i="1"/>
  <c r="J57" i="1"/>
  <c r="K57" i="1" s="1"/>
  <c r="J55" i="1"/>
  <c r="J46" i="1"/>
  <c r="F59" i="1"/>
  <c r="J30" i="1"/>
  <c r="I29" i="1"/>
  <c r="C26" i="1"/>
  <c r="C27" i="1"/>
  <c r="C28" i="1"/>
  <c r="C22" i="1"/>
  <c r="C8" i="1"/>
  <c r="C9" i="1"/>
  <c r="F46" i="1"/>
  <c r="F30" i="1"/>
  <c r="F5" i="1"/>
  <c r="C47" i="1"/>
  <c r="C48" i="1"/>
  <c r="K48" i="1"/>
  <c r="C49" i="1"/>
  <c r="K49" i="1"/>
  <c r="C50" i="1"/>
  <c r="K50" i="1"/>
  <c r="C51" i="1"/>
  <c r="C52" i="1"/>
  <c r="K52" i="1"/>
  <c r="C53" i="1"/>
  <c r="K53" i="1"/>
  <c r="C54" i="1"/>
  <c r="K54" i="1"/>
  <c r="F55" i="1"/>
  <c r="C56" i="1"/>
  <c r="I56" i="1"/>
  <c r="C23" i="1"/>
  <c r="C24" i="1"/>
  <c r="C25" i="1"/>
  <c r="F57" i="1"/>
  <c r="K51" i="1" l="1"/>
  <c r="C36" i="1"/>
  <c r="I36" i="1"/>
  <c r="C37" i="1" l="1"/>
  <c r="I37" i="1"/>
  <c r="C38" i="1"/>
  <c r="I38" i="1"/>
  <c r="C39" i="1"/>
  <c r="I39" i="1"/>
  <c r="C40" i="1"/>
  <c r="I40" i="1"/>
  <c r="C41" i="1"/>
  <c r="I41" i="1"/>
  <c r="C42" i="1"/>
  <c r="I42" i="1"/>
  <c r="I24" i="1" l="1"/>
  <c r="N11" i="1" l="1"/>
  <c r="I27" i="1"/>
  <c r="I25" i="1" l="1"/>
  <c r="I23" i="1" l="1"/>
  <c r="K15" i="1" l="1"/>
  <c r="K17" i="1"/>
  <c r="K18" i="1"/>
  <c r="K19" i="1"/>
  <c r="K20" i="1"/>
  <c r="K10" i="1"/>
  <c r="K11" i="1"/>
  <c r="C7" i="1" l="1"/>
  <c r="C10" i="1"/>
  <c r="C11" i="1"/>
  <c r="C12" i="1"/>
  <c r="C13" i="1"/>
  <c r="C14" i="1"/>
  <c r="C15" i="1"/>
  <c r="C16" i="1"/>
  <c r="C17" i="1"/>
  <c r="C18" i="1"/>
  <c r="C19" i="1"/>
  <c r="C20" i="1"/>
  <c r="C21" i="1"/>
  <c r="C29" i="1"/>
  <c r="C6" i="1"/>
  <c r="I53" i="6" l="1"/>
  <c r="I52" i="6"/>
  <c r="I44" i="6"/>
  <c r="I36" i="6"/>
  <c r="I29" i="6"/>
  <c r="I19" i="6"/>
  <c r="I20" i="6"/>
  <c r="I21" i="6"/>
  <c r="I22" i="6"/>
  <c r="I100" i="6"/>
  <c r="I99" i="6"/>
  <c r="I98" i="6"/>
  <c r="I97" i="6"/>
  <c r="I96" i="6"/>
  <c r="I94" i="6"/>
  <c r="I93" i="6"/>
  <c r="I92" i="6"/>
  <c r="I90" i="6"/>
  <c r="I89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01" i="6"/>
  <c r="C202" i="6"/>
  <c r="C203" i="6"/>
  <c r="C204" i="6"/>
  <c r="C205" i="6"/>
  <c r="C206" i="6"/>
  <c r="C207" i="6"/>
  <c r="C208" i="6"/>
  <c r="C209" i="6"/>
  <c r="C210" i="6"/>
  <c r="C211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158" i="6"/>
  <c r="C159" i="6"/>
  <c r="C160" i="6"/>
  <c r="C161" i="6"/>
  <c r="C162" i="6"/>
  <c r="C163" i="6"/>
  <c r="C164" i="6"/>
  <c r="C157" i="6"/>
  <c r="C129" i="6"/>
  <c r="C130" i="6"/>
  <c r="C128" i="6"/>
  <c r="J116" i="6"/>
  <c r="J117" i="6"/>
  <c r="J118" i="6"/>
  <c r="J119" i="6"/>
  <c r="J120" i="6"/>
  <c r="J121" i="6"/>
  <c r="I112" i="6"/>
  <c r="I113" i="6"/>
  <c r="I114" i="6"/>
  <c r="I115" i="6"/>
  <c r="I116" i="6"/>
  <c r="I117" i="6"/>
  <c r="I118" i="6"/>
  <c r="I119" i="6"/>
  <c r="I120" i="6"/>
  <c r="C97" i="6"/>
  <c r="C98" i="6"/>
  <c r="C99" i="6"/>
  <c r="C100" i="6"/>
  <c r="C96" i="6"/>
  <c r="C93" i="6"/>
  <c r="C94" i="6"/>
  <c r="C92" i="6"/>
  <c r="C90" i="6"/>
  <c r="C89" i="6"/>
  <c r="C86" i="6"/>
  <c r="C84" i="6"/>
  <c r="C82" i="6"/>
  <c r="C81" i="6"/>
  <c r="C79" i="6"/>
  <c r="C77" i="6"/>
  <c r="C71" i="6"/>
  <c r="C72" i="6"/>
  <c r="C53" i="6"/>
  <c r="C54" i="6"/>
  <c r="C52" i="6"/>
  <c r="C48" i="6"/>
  <c r="C47" i="6"/>
  <c r="C42" i="6"/>
  <c r="C43" i="6"/>
  <c r="C44" i="6"/>
  <c r="C45" i="6"/>
  <c r="F131" i="6" l="1"/>
  <c r="F122" i="6"/>
  <c r="F102" i="6"/>
  <c r="F83" i="6"/>
  <c r="F37" i="6"/>
  <c r="F5" i="6"/>
  <c r="F165" i="6"/>
  <c r="F156" i="6"/>
  <c r="C184" i="6"/>
  <c r="C183" i="6"/>
  <c r="J158" i="6"/>
  <c r="J159" i="6"/>
  <c r="J160" i="6"/>
  <c r="J161" i="6"/>
  <c r="J157" i="6"/>
  <c r="I158" i="6"/>
  <c r="I159" i="6"/>
  <c r="I160" i="6"/>
  <c r="I161" i="6"/>
  <c r="I157" i="6"/>
  <c r="K182" i="6"/>
  <c r="J182" i="6" s="1"/>
  <c r="I182" i="6"/>
  <c r="C182" i="6"/>
  <c r="K181" i="6"/>
  <c r="J181" i="6" s="1"/>
  <c r="I181" i="6"/>
  <c r="C181" i="6"/>
  <c r="K180" i="6"/>
  <c r="J180" i="6" s="1"/>
  <c r="I180" i="6"/>
  <c r="C180" i="6"/>
  <c r="K179" i="6"/>
  <c r="J179" i="6" s="1"/>
  <c r="I179" i="6"/>
  <c r="C179" i="6"/>
  <c r="K178" i="6"/>
  <c r="J178" i="6" s="1"/>
  <c r="I178" i="6"/>
  <c r="C178" i="6"/>
  <c r="K177" i="6"/>
  <c r="J177" i="6" s="1"/>
  <c r="I177" i="6"/>
  <c r="C177" i="6"/>
  <c r="K176" i="6"/>
  <c r="J176" i="6" s="1"/>
  <c r="I176" i="6"/>
  <c r="C176" i="6"/>
  <c r="J175" i="6"/>
  <c r="I175" i="6"/>
  <c r="C175" i="6"/>
  <c r="K174" i="6"/>
  <c r="J174" i="6" s="1"/>
  <c r="I174" i="6"/>
  <c r="C174" i="6"/>
  <c r="K173" i="6"/>
  <c r="J173" i="6" s="1"/>
  <c r="I173" i="6"/>
  <c r="C173" i="6"/>
  <c r="K172" i="6"/>
  <c r="J172" i="6" s="1"/>
  <c r="I172" i="6"/>
  <c r="C172" i="6"/>
  <c r="J171" i="6"/>
  <c r="I171" i="6"/>
  <c r="C171" i="6"/>
  <c r="J170" i="6"/>
  <c r="I170" i="6"/>
  <c r="C170" i="6"/>
  <c r="J169" i="6"/>
  <c r="I169" i="6"/>
  <c r="C169" i="6"/>
  <c r="K168" i="6"/>
  <c r="J168" i="6" s="1"/>
  <c r="I168" i="6"/>
  <c r="C168" i="6"/>
  <c r="K167" i="6"/>
  <c r="J167" i="6" s="1"/>
  <c r="I167" i="6"/>
  <c r="C167" i="6"/>
  <c r="K166" i="6"/>
  <c r="J166" i="6" s="1"/>
  <c r="I166" i="6"/>
  <c r="C166" i="6"/>
  <c r="J164" i="6"/>
  <c r="K164" i="6" s="1"/>
  <c r="I164" i="6"/>
  <c r="J163" i="6"/>
  <c r="I163" i="6"/>
  <c r="J162" i="6"/>
  <c r="I162" i="6"/>
  <c r="B162" i="6"/>
  <c r="I129" i="6"/>
  <c r="I130" i="6"/>
  <c r="I128" i="6"/>
  <c r="J156" i="6" l="1"/>
  <c r="J165" i="6"/>
  <c r="K165" i="6"/>
  <c r="C120" i="6" l="1"/>
  <c r="F95" i="6"/>
  <c r="K95" i="6"/>
  <c r="C116" i="6"/>
  <c r="C117" i="6"/>
  <c r="C118" i="6"/>
  <c r="C119" i="6"/>
  <c r="F91" i="6"/>
  <c r="K91" i="6"/>
  <c r="F88" i="6"/>
  <c r="K88" i="6"/>
  <c r="J87" i="6"/>
  <c r="I87" i="6"/>
  <c r="C87" i="6"/>
  <c r="I6" i="6"/>
  <c r="J6" i="6"/>
  <c r="K6" i="6"/>
  <c r="I7" i="6"/>
  <c r="J7" i="6"/>
  <c r="K7" i="6" s="1"/>
  <c r="I8" i="6"/>
  <c r="J8" i="6"/>
  <c r="K8" i="6" s="1"/>
  <c r="I9" i="6"/>
  <c r="J9" i="6"/>
  <c r="K9" i="6" s="1"/>
  <c r="I10" i="6"/>
  <c r="J10" i="6"/>
  <c r="K10" i="6" s="1"/>
  <c r="I11" i="6"/>
  <c r="J11" i="6"/>
  <c r="K11" i="6" s="1"/>
  <c r="I12" i="6"/>
  <c r="J12" i="6"/>
  <c r="K12" i="6" s="1"/>
  <c r="I13" i="6"/>
  <c r="J13" i="6"/>
  <c r="K13" i="6" s="1"/>
  <c r="I14" i="6"/>
  <c r="J14" i="6"/>
  <c r="K14" i="6" s="1"/>
  <c r="I15" i="6"/>
  <c r="J15" i="6"/>
  <c r="K15" i="6" s="1"/>
  <c r="F17" i="6"/>
  <c r="I18" i="6"/>
  <c r="J18" i="6"/>
  <c r="K18" i="6" s="1"/>
  <c r="J19" i="6"/>
  <c r="K19" i="6"/>
  <c r="J20" i="6"/>
  <c r="K20" i="6"/>
  <c r="J21" i="6"/>
  <c r="K21" i="6"/>
  <c r="J22" i="6"/>
  <c r="K22" i="6"/>
  <c r="F23" i="6"/>
  <c r="I24" i="6"/>
  <c r="K24" i="6"/>
  <c r="J24" i="6" s="1"/>
  <c r="I25" i="6"/>
  <c r="K25" i="6"/>
  <c r="J25" i="6" s="1"/>
  <c r="F26" i="6"/>
  <c r="I27" i="6"/>
  <c r="K27" i="6"/>
  <c r="J27" i="6" s="1"/>
  <c r="I28" i="6"/>
  <c r="J28" i="6"/>
  <c r="F30" i="6"/>
  <c r="I31" i="6"/>
  <c r="K31" i="6"/>
  <c r="J31" i="6" s="1"/>
  <c r="I32" i="6"/>
  <c r="K32" i="6"/>
  <c r="J32" i="6" s="1"/>
  <c r="I33" i="6"/>
  <c r="J33" i="6"/>
  <c r="I34" i="6"/>
  <c r="J34" i="6"/>
  <c r="I35" i="6"/>
  <c r="K35" i="6"/>
  <c r="J35" i="6" s="1"/>
  <c r="I38" i="6"/>
  <c r="K38" i="6"/>
  <c r="J38" i="6" s="1"/>
  <c r="I39" i="6"/>
  <c r="K39" i="6"/>
  <c r="J39" i="6" s="1"/>
  <c r="F40" i="6"/>
  <c r="C41" i="6"/>
  <c r="I41" i="6"/>
  <c r="J41" i="6"/>
  <c r="I42" i="6"/>
  <c r="J42" i="6"/>
  <c r="I43" i="6"/>
  <c r="K43" i="6"/>
  <c r="K40" i="6" s="1"/>
  <c r="I45" i="6"/>
  <c r="J45" i="6"/>
  <c r="F46" i="6"/>
  <c r="I47" i="6"/>
  <c r="J47" i="6"/>
  <c r="J46" i="6" s="1"/>
  <c r="I48" i="6"/>
  <c r="F49" i="6"/>
  <c r="I50" i="6"/>
  <c r="K50" i="6"/>
  <c r="F51" i="6"/>
  <c r="J52" i="6"/>
  <c r="I54" i="6"/>
  <c r="K54" i="6"/>
  <c r="J54" i="6" s="1"/>
  <c r="F55" i="6"/>
  <c r="C56" i="6"/>
  <c r="I56" i="6"/>
  <c r="J56" i="6"/>
  <c r="F57" i="6"/>
  <c r="C58" i="6"/>
  <c r="I58" i="6"/>
  <c r="K58" i="6"/>
  <c r="F59" i="6"/>
  <c r="C60" i="6"/>
  <c r="I60" i="6"/>
  <c r="K60" i="6"/>
  <c r="J60" i="6" s="1"/>
  <c r="C61" i="6"/>
  <c r="I61" i="6"/>
  <c r="K61" i="6"/>
  <c r="J61" i="6" s="1"/>
  <c r="F62" i="6"/>
  <c r="K62" i="6"/>
  <c r="C63" i="6"/>
  <c r="I63" i="6"/>
  <c r="J63" i="6"/>
  <c r="C64" i="6"/>
  <c r="I64" i="6"/>
  <c r="J64" i="6"/>
  <c r="F65" i="6"/>
  <c r="K65" i="6"/>
  <c r="C66" i="6"/>
  <c r="I66" i="6"/>
  <c r="J66" i="6"/>
  <c r="C67" i="6"/>
  <c r="I67" i="6"/>
  <c r="J67" i="6"/>
  <c r="C68" i="6"/>
  <c r="I68" i="6"/>
  <c r="J68" i="6"/>
  <c r="F69" i="6"/>
  <c r="C70" i="6"/>
  <c r="I70" i="6"/>
  <c r="K70" i="6"/>
  <c r="J70" i="6" s="1"/>
  <c r="I71" i="6"/>
  <c r="I72" i="6"/>
  <c r="K72" i="6"/>
  <c r="K69" i="6" s="1"/>
  <c r="F73" i="6"/>
  <c r="C74" i="6"/>
  <c r="I74" i="6"/>
  <c r="J74" i="6"/>
  <c r="C75" i="6"/>
  <c r="I75" i="6"/>
  <c r="J75" i="6"/>
  <c r="F76" i="6"/>
  <c r="I77" i="6"/>
  <c r="F78" i="6"/>
  <c r="I79" i="6"/>
  <c r="F80" i="6"/>
  <c r="K80" i="6"/>
  <c r="I81" i="6"/>
  <c r="I82" i="6"/>
  <c r="I84" i="6"/>
  <c r="C85" i="6"/>
  <c r="K85" i="6"/>
  <c r="K78" i="6" s="1"/>
  <c r="J78" i="6" s="1"/>
  <c r="C101" i="6"/>
  <c r="I101" i="6"/>
  <c r="J101" i="6"/>
  <c r="C103" i="6"/>
  <c r="I103" i="6"/>
  <c r="J103" i="6"/>
  <c r="C104" i="6"/>
  <c r="I104" i="6"/>
  <c r="J104" i="6"/>
  <c r="C105" i="6"/>
  <c r="I105" i="6"/>
  <c r="J105" i="6"/>
  <c r="C106" i="6"/>
  <c r="I106" i="6"/>
  <c r="J106" i="6"/>
  <c r="C107" i="6"/>
  <c r="I107" i="6"/>
  <c r="J107" i="6"/>
  <c r="C108" i="6"/>
  <c r="I108" i="6"/>
  <c r="J108" i="6"/>
  <c r="C109" i="6"/>
  <c r="I109" i="6"/>
  <c r="J109" i="6"/>
  <c r="C110" i="6"/>
  <c r="I110" i="6"/>
  <c r="J110" i="6"/>
  <c r="C111" i="6"/>
  <c r="I111" i="6"/>
  <c r="J111" i="6"/>
  <c r="C112" i="6"/>
  <c r="J112" i="6"/>
  <c r="C113" i="6"/>
  <c r="J113" i="6"/>
  <c r="C114" i="6"/>
  <c r="J114" i="6"/>
  <c r="C115" i="6"/>
  <c r="J115" i="6"/>
  <c r="C121" i="6"/>
  <c r="I121" i="6"/>
  <c r="C123" i="6"/>
  <c r="I123" i="6"/>
  <c r="J123" i="6"/>
  <c r="F124" i="6"/>
  <c r="C125" i="6"/>
  <c r="I125" i="6"/>
  <c r="J125" i="6"/>
  <c r="J124" i="6" s="1"/>
  <c r="F127" i="6"/>
  <c r="F126" i="6" s="1"/>
  <c r="B128" i="6"/>
  <c r="J128" i="6"/>
  <c r="J129" i="6"/>
  <c r="J130" i="6"/>
  <c r="K130" i="6" s="1"/>
  <c r="C132" i="6"/>
  <c r="I132" i="6"/>
  <c r="K132" i="6"/>
  <c r="J132" i="6" s="1"/>
  <c r="C133" i="6"/>
  <c r="I133" i="6"/>
  <c r="K133" i="6"/>
  <c r="J133" i="6" s="1"/>
  <c r="C134" i="6"/>
  <c r="I134" i="6"/>
  <c r="K134" i="6"/>
  <c r="J134" i="6" s="1"/>
  <c r="C135" i="6"/>
  <c r="I135" i="6"/>
  <c r="J135" i="6"/>
  <c r="C136" i="6"/>
  <c r="I136" i="6"/>
  <c r="J136" i="6"/>
  <c r="C137" i="6"/>
  <c r="I137" i="6"/>
  <c r="J137" i="6"/>
  <c r="C138" i="6"/>
  <c r="I138" i="6"/>
  <c r="K138" i="6"/>
  <c r="J138" i="6" s="1"/>
  <c r="C139" i="6"/>
  <c r="I139" i="6"/>
  <c r="K139" i="6"/>
  <c r="J139" i="6" s="1"/>
  <c r="C140" i="6"/>
  <c r="I140" i="6"/>
  <c r="K140" i="6"/>
  <c r="C141" i="6"/>
  <c r="I141" i="6"/>
  <c r="J141" i="6"/>
  <c r="C142" i="6"/>
  <c r="I142" i="6"/>
  <c r="K142" i="6"/>
  <c r="J142" i="6" s="1"/>
  <c r="C143" i="6"/>
  <c r="I143" i="6"/>
  <c r="K143" i="6"/>
  <c r="J143" i="6" s="1"/>
  <c r="C144" i="6"/>
  <c r="I144" i="6"/>
  <c r="K144" i="6"/>
  <c r="J144" i="6" s="1"/>
  <c r="C145" i="6"/>
  <c r="I145" i="6"/>
  <c r="K145" i="6"/>
  <c r="J145" i="6" s="1"/>
  <c r="C146" i="6"/>
  <c r="I146" i="6"/>
  <c r="K146" i="6"/>
  <c r="J146" i="6" s="1"/>
  <c r="C147" i="6"/>
  <c r="I147" i="6"/>
  <c r="K147" i="6"/>
  <c r="J147" i="6" s="1"/>
  <c r="C148" i="6"/>
  <c r="I148" i="6"/>
  <c r="K148" i="6"/>
  <c r="J148" i="6" s="1"/>
  <c r="F149" i="6"/>
  <c r="K149" i="6"/>
  <c r="C150" i="6"/>
  <c r="I150" i="6"/>
  <c r="J150" i="6"/>
  <c r="J149" i="6" s="1"/>
  <c r="C151" i="6"/>
  <c r="I151" i="6"/>
  <c r="J151" i="6"/>
  <c r="C152" i="6"/>
  <c r="I152" i="6"/>
  <c r="C153" i="6"/>
  <c r="I153" i="6"/>
  <c r="J153" i="6"/>
  <c r="F154" i="6"/>
  <c r="K154" i="6"/>
  <c r="C155" i="6"/>
  <c r="I155" i="6"/>
  <c r="J155" i="6"/>
  <c r="J154" i="6" s="1"/>
  <c r="J140" i="6" l="1"/>
  <c r="K126" i="6"/>
  <c r="K5" i="6"/>
  <c r="F16" i="6"/>
  <c r="F238" i="6" s="1"/>
  <c r="J43" i="6"/>
  <c r="J95" i="6"/>
  <c r="J69" i="6"/>
  <c r="J80" i="6"/>
  <c r="J65" i="6"/>
  <c r="J62" i="6"/>
  <c r="J40" i="6"/>
  <c r="J37" i="6" s="1"/>
  <c r="J131" i="6"/>
  <c r="K83" i="6"/>
  <c r="J17" i="6"/>
  <c r="J5" i="6"/>
  <c r="J85" i="6"/>
  <c r="J238" i="6" s="1"/>
  <c r="J91" i="6"/>
  <c r="J127" i="6"/>
  <c r="J126" i="6" s="1"/>
  <c r="J102" i="6"/>
  <c r="J88" i="6"/>
  <c r="K238" i="6"/>
  <c r="J23" i="6"/>
  <c r="J30" i="6"/>
  <c r="K76" i="6"/>
  <c r="J83" i="6"/>
  <c r="K131" i="6"/>
  <c r="J72" i="6"/>
  <c r="K59" i="6"/>
  <c r="J59" i="6" s="1"/>
  <c r="J58" i="6"/>
  <c r="J50" i="6"/>
  <c r="K23" i="6"/>
  <c r="K56" i="4"/>
  <c r="J117" i="4"/>
  <c r="K111" i="4"/>
  <c r="K110" i="4"/>
  <c r="K108" i="4"/>
  <c r="K105" i="4"/>
  <c r="K106" i="4"/>
  <c r="K107" i="4"/>
  <c r="K104" i="4"/>
  <c r="K102" i="4"/>
  <c r="J102" i="4" s="1"/>
  <c r="K101" i="4"/>
  <c r="K100" i="4"/>
  <c r="I100" i="4"/>
  <c r="K96" i="4"/>
  <c r="K95" i="4"/>
  <c r="K94" i="4"/>
  <c r="K69" i="4"/>
  <c r="K65" i="4"/>
  <c r="K64" i="4"/>
  <c r="K55" i="4"/>
  <c r="K54" i="4"/>
  <c r="K52" i="4"/>
  <c r="K49" i="4"/>
  <c r="K47" i="4"/>
  <c r="J45" i="4"/>
  <c r="K38" i="4"/>
  <c r="J38" i="4" s="1"/>
  <c r="K37" i="4"/>
  <c r="J37" i="4" s="1"/>
  <c r="K36" i="4"/>
  <c r="K32" i="4"/>
  <c r="K30" i="4"/>
  <c r="K42" i="4"/>
  <c r="K33" i="4"/>
  <c r="K29" i="4"/>
  <c r="K27" i="4"/>
  <c r="K26" i="4"/>
  <c r="J26" i="6" l="1"/>
  <c r="K57" i="6"/>
  <c r="K73" i="6"/>
  <c r="J73" i="6" s="1"/>
  <c r="J76" i="6"/>
  <c r="K6" i="4"/>
  <c r="J6" i="4" s="1"/>
  <c r="J20" i="4"/>
  <c r="K55" i="6" l="1"/>
  <c r="J57" i="6"/>
  <c r="J60" i="4"/>
  <c r="J36" i="4"/>
  <c r="J27" i="4"/>
  <c r="J28" i="4"/>
  <c r="J29" i="4"/>
  <c r="J30" i="4"/>
  <c r="K51" i="6" l="1"/>
  <c r="J55" i="6"/>
  <c r="J16" i="6" s="1"/>
  <c r="F93" i="4"/>
  <c r="F92" i="4" s="1"/>
  <c r="J100" i="4"/>
  <c r="C100" i="4"/>
  <c r="J51" i="6" l="1"/>
  <c r="K49" i="6"/>
  <c r="F86" i="4"/>
  <c r="F63" i="4"/>
  <c r="F71" i="4"/>
  <c r="F59" i="4"/>
  <c r="F31" i="4"/>
  <c r="F25" i="4"/>
  <c r="F5" i="4"/>
  <c r="K46" i="6" l="1"/>
  <c r="K37" i="6" s="1"/>
  <c r="J49" i="6"/>
  <c r="F50" i="4"/>
  <c r="K26" i="6" l="1"/>
  <c r="K17" i="6" s="1"/>
  <c r="K30" i="6"/>
  <c r="J23" i="4"/>
  <c r="K23" i="4" s="1"/>
  <c r="I23" i="4"/>
  <c r="J22" i="4"/>
  <c r="K22" i="4" s="1"/>
  <c r="I22" i="4"/>
  <c r="J21" i="4"/>
  <c r="K21" i="4" s="1"/>
  <c r="I21" i="4"/>
  <c r="F112" i="4"/>
  <c r="K116" i="4"/>
  <c r="F116" i="4"/>
  <c r="J116" i="4"/>
  <c r="I117" i="4"/>
  <c r="C117" i="4"/>
  <c r="J115" i="4"/>
  <c r="I115" i="4"/>
  <c r="C115" i="4"/>
  <c r="I36" i="4"/>
  <c r="K16" i="6" l="1"/>
  <c r="I20" i="4"/>
  <c r="J19" i="4"/>
  <c r="K19" i="4" s="1"/>
  <c r="I19" i="4"/>
  <c r="J18" i="4"/>
  <c r="K18" i="4" s="1"/>
  <c r="I18" i="4"/>
  <c r="J17" i="4"/>
  <c r="K17" i="4" s="1"/>
  <c r="I17" i="4"/>
  <c r="J16" i="4"/>
  <c r="K16" i="4" s="1"/>
  <c r="I16" i="4"/>
  <c r="J15" i="4"/>
  <c r="K15" i="4" s="1"/>
  <c r="I15" i="4"/>
  <c r="J14" i="4"/>
  <c r="K14" i="4" s="1"/>
  <c r="I14" i="4"/>
  <c r="J13" i="4"/>
  <c r="K13" i="4" s="1"/>
  <c r="I13" i="4"/>
  <c r="J12" i="4"/>
  <c r="K12" i="4" s="1"/>
  <c r="I12" i="4"/>
  <c r="J11" i="4"/>
  <c r="K11" i="4" s="1"/>
  <c r="I11" i="4"/>
  <c r="I119" i="4"/>
  <c r="J119" i="4"/>
  <c r="J118" i="4" s="1"/>
  <c r="C119" i="4"/>
  <c r="F118" i="4"/>
  <c r="J91" i="4" l="1"/>
  <c r="K91" i="4" s="1"/>
  <c r="I91" i="4"/>
  <c r="J90" i="4"/>
  <c r="I90" i="4"/>
  <c r="I38" i="4"/>
  <c r="I37" i="4"/>
  <c r="F39" i="4"/>
  <c r="J89" i="4"/>
  <c r="B89" i="4"/>
  <c r="F44" i="4" l="1"/>
  <c r="J43" i="4" l="1"/>
  <c r="I43" i="4"/>
  <c r="C43" i="4"/>
  <c r="J65" i="4"/>
  <c r="I65" i="4"/>
  <c r="C65" i="4"/>
  <c r="J64" i="4"/>
  <c r="I64" i="4"/>
  <c r="C64" i="4"/>
  <c r="J69" i="4" l="1"/>
  <c r="J49" i="4"/>
  <c r="J48" i="4"/>
  <c r="J47" i="4"/>
  <c r="I47" i="4"/>
  <c r="I46" i="4" l="1"/>
  <c r="F56" i="4" l="1"/>
  <c r="I57" i="4"/>
  <c r="J57" i="4"/>
  <c r="C57" i="4"/>
  <c r="F66" i="4" l="1"/>
  <c r="C69" i="4"/>
  <c r="I29" i="4" l="1"/>
  <c r="I114" i="4" l="1"/>
  <c r="C114" i="4"/>
  <c r="I113" i="4"/>
  <c r="C113" i="4"/>
  <c r="I111" i="4"/>
  <c r="I110" i="4"/>
  <c r="I109" i="4"/>
  <c r="I108" i="4"/>
  <c r="I107" i="4"/>
  <c r="I106" i="4"/>
  <c r="I105" i="4"/>
  <c r="I104" i="4"/>
  <c r="C104" i="4"/>
  <c r="I103" i="4"/>
  <c r="C103" i="4"/>
  <c r="I102" i="4"/>
  <c r="I101" i="4"/>
  <c r="J101" i="4"/>
  <c r="I99" i="4"/>
  <c r="J99" i="4"/>
  <c r="I98" i="4"/>
  <c r="J98" i="4"/>
  <c r="I97" i="4"/>
  <c r="I96" i="4"/>
  <c r="J96" i="4"/>
  <c r="I95" i="4"/>
  <c r="J95" i="4"/>
  <c r="I94" i="4"/>
  <c r="J94" i="4"/>
  <c r="I87" i="4"/>
  <c r="J85" i="4"/>
  <c r="I85" i="4"/>
  <c r="C85" i="4"/>
  <c r="J84" i="4"/>
  <c r="I84" i="4"/>
  <c r="C84" i="4"/>
  <c r="F83" i="4"/>
  <c r="I82" i="4"/>
  <c r="J82" i="4"/>
  <c r="I81" i="4"/>
  <c r="J81" i="4"/>
  <c r="I80" i="4"/>
  <c r="J80" i="4"/>
  <c r="I79" i="4"/>
  <c r="J79" i="4"/>
  <c r="C79" i="4"/>
  <c r="I78" i="4"/>
  <c r="J78" i="4"/>
  <c r="I77" i="4"/>
  <c r="J77" i="4"/>
  <c r="I76" i="4"/>
  <c r="J76" i="4"/>
  <c r="I75" i="4"/>
  <c r="J75" i="4"/>
  <c r="I74" i="4"/>
  <c r="J74" i="4"/>
  <c r="I73" i="4"/>
  <c r="J73" i="4"/>
  <c r="C73" i="4"/>
  <c r="I72" i="4"/>
  <c r="J72" i="4"/>
  <c r="J70" i="4"/>
  <c r="I70" i="4"/>
  <c r="C70" i="4"/>
  <c r="I68" i="4"/>
  <c r="J68" i="4"/>
  <c r="C68" i="4"/>
  <c r="I67" i="4"/>
  <c r="C67" i="4"/>
  <c r="K63" i="4"/>
  <c r="I62" i="4"/>
  <c r="I61" i="4"/>
  <c r="I60" i="4"/>
  <c r="C60" i="4"/>
  <c r="J58" i="4"/>
  <c r="J56" i="4" s="1"/>
  <c r="I58" i="4"/>
  <c r="C58" i="4"/>
  <c r="J55" i="4"/>
  <c r="I55" i="4"/>
  <c r="C55" i="4"/>
  <c r="I54" i="4"/>
  <c r="J52" i="4"/>
  <c r="I52" i="4"/>
  <c r="C52" i="4"/>
  <c r="I51" i="4"/>
  <c r="K50" i="4"/>
  <c r="I49" i="4"/>
  <c r="I45" i="4"/>
  <c r="J42" i="4"/>
  <c r="I42" i="4"/>
  <c r="J41" i="4"/>
  <c r="I41" i="4"/>
  <c r="C41" i="4"/>
  <c r="J40" i="4"/>
  <c r="I40" i="4"/>
  <c r="C40" i="4"/>
  <c r="I35" i="4"/>
  <c r="J35" i="4"/>
  <c r="I34" i="4"/>
  <c r="J34" i="4"/>
  <c r="J33" i="4"/>
  <c r="I33" i="4"/>
  <c r="I32" i="4"/>
  <c r="J32" i="4"/>
  <c r="I30" i="4"/>
  <c r="I28" i="4"/>
  <c r="I27" i="4"/>
  <c r="I26" i="4"/>
  <c r="J26" i="4"/>
  <c r="J25" i="4" s="1"/>
  <c r="K25" i="4"/>
  <c r="I10" i="4"/>
  <c r="J10" i="4"/>
  <c r="K10" i="4" s="1"/>
  <c r="I9" i="4"/>
  <c r="I8" i="4"/>
  <c r="J8" i="4"/>
  <c r="K8" i="4" s="1"/>
  <c r="I7" i="4"/>
  <c r="J7" i="4"/>
  <c r="K7" i="4" s="1"/>
  <c r="I6" i="4"/>
  <c r="J39" i="4" l="1"/>
  <c r="J31" i="4"/>
  <c r="J71" i="4"/>
  <c r="F88" i="4"/>
  <c r="J62" i="4"/>
  <c r="C94" i="4"/>
  <c r="K31" i="4"/>
  <c r="C80" i="4"/>
  <c r="C101" i="4"/>
  <c r="C98" i="4"/>
  <c r="J61" i="4"/>
  <c r="J103" i="4"/>
  <c r="J104" i="4"/>
  <c r="C61" i="4"/>
  <c r="C74" i="4"/>
  <c r="C99" i="4"/>
  <c r="J88" i="4"/>
  <c r="C97" i="4"/>
  <c r="C102" i="4"/>
  <c r="J114" i="4"/>
  <c r="J113" i="4"/>
  <c r="J63" i="4"/>
  <c r="J83" i="4"/>
  <c r="C54" i="4"/>
  <c r="K53" i="4"/>
  <c r="J50" i="4"/>
  <c r="K44" i="4"/>
  <c r="K39" i="4" s="1"/>
  <c r="C106" i="4"/>
  <c r="J106" i="4"/>
  <c r="C110" i="4"/>
  <c r="J110" i="4"/>
  <c r="J9" i="4"/>
  <c r="K9" i="4" s="1"/>
  <c r="K5" i="4" s="1"/>
  <c r="J51" i="4"/>
  <c r="C62" i="4"/>
  <c r="C72" i="4"/>
  <c r="C76" i="4"/>
  <c r="C78" i="4"/>
  <c r="C82" i="4"/>
  <c r="C96" i="4"/>
  <c r="J97" i="4"/>
  <c r="J87" i="4"/>
  <c r="J86" i="4" s="1"/>
  <c r="F53" i="4"/>
  <c r="F24" i="4" s="1"/>
  <c r="C108" i="4"/>
  <c r="J108" i="4"/>
  <c r="C51" i="4"/>
  <c r="K66" i="4"/>
  <c r="C75" i="4"/>
  <c r="C77" i="4"/>
  <c r="C81" i="4"/>
  <c r="C87" i="4"/>
  <c r="C95" i="4"/>
  <c r="C105" i="4"/>
  <c r="J105" i="4"/>
  <c r="C107" i="4"/>
  <c r="J107" i="4"/>
  <c r="C109" i="4"/>
  <c r="J109" i="4"/>
  <c r="C111" i="4"/>
  <c r="J111" i="4"/>
  <c r="F48" i="3"/>
  <c r="C6" i="3"/>
  <c r="F6" i="3" s="1"/>
  <c r="K6" i="3" s="1"/>
  <c r="I6" i="3"/>
  <c r="N162" i="3"/>
  <c r="I186" i="3"/>
  <c r="F186" i="3"/>
  <c r="J186" i="3" s="1"/>
  <c r="I185" i="3"/>
  <c r="F185" i="3"/>
  <c r="J185" i="3" s="1"/>
  <c r="I184" i="3"/>
  <c r="F184" i="3"/>
  <c r="J184" i="3" s="1"/>
  <c r="I183" i="3"/>
  <c r="F183" i="3"/>
  <c r="C183" i="3" s="1"/>
  <c r="I181" i="3"/>
  <c r="F181" i="3"/>
  <c r="C181" i="3" s="1"/>
  <c r="I179" i="3"/>
  <c r="F179" i="3"/>
  <c r="C179" i="3" s="1"/>
  <c r="I178" i="3"/>
  <c r="F178" i="3"/>
  <c r="C178" i="3" s="1"/>
  <c r="I177" i="3"/>
  <c r="F177" i="3"/>
  <c r="J177" i="3" s="1"/>
  <c r="I176" i="3"/>
  <c r="F176" i="3"/>
  <c r="C176" i="3" s="1"/>
  <c r="I174" i="3"/>
  <c r="F174" i="3"/>
  <c r="J174" i="3" s="1"/>
  <c r="I173" i="3"/>
  <c r="F173" i="3"/>
  <c r="C173" i="3" s="1"/>
  <c r="I172" i="3"/>
  <c r="F172" i="3"/>
  <c r="J172" i="3" s="1"/>
  <c r="I171" i="3"/>
  <c r="F171" i="3"/>
  <c r="I169" i="3"/>
  <c r="F169" i="3"/>
  <c r="J169" i="3" s="1"/>
  <c r="I168" i="3"/>
  <c r="F168" i="3"/>
  <c r="J168" i="3" s="1"/>
  <c r="I166" i="3"/>
  <c r="F166" i="3"/>
  <c r="C166" i="3" s="1"/>
  <c r="I165" i="3"/>
  <c r="F165" i="3"/>
  <c r="K165" i="3" s="1"/>
  <c r="J165" i="3" s="1"/>
  <c r="I164" i="3"/>
  <c r="F164" i="3"/>
  <c r="I163" i="3"/>
  <c r="F163" i="3"/>
  <c r="C163" i="3" s="1"/>
  <c r="I162" i="3"/>
  <c r="F162" i="3"/>
  <c r="C162" i="3" s="1"/>
  <c r="I161" i="3"/>
  <c r="F161" i="3"/>
  <c r="J161" i="3" s="1"/>
  <c r="I160" i="3"/>
  <c r="F160" i="3"/>
  <c r="J160" i="3" s="1"/>
  <c r="I159" i="3"/>
  <c r="F159" i="3"/>
  <c r="J159" i="3" s="1"/>
  <c r="I158" i="3"/>
  <c r="F158" i="3"/>
  <c r="C158" i="3" s="1"/>
  <c r="I157" i="3"/>
  <c r="F157" i="3"/>
  <c r="J157" i="3" s="1"/>
  <c r="I156" i="3"/>
  <c r="F156" i="3"/>
  <c r="J156" i="3" s="1"/>
  <c r="I155" i="3"/>
  <c r="F155" i="3"/>
  <c r="C155" i="3" s="1"/>
  <c r="I154" i="3"/>
  <c r="F154" i="3"/>
  <c r="J154" i="3" s="1"/>
  <c r="I153" i="3"/>
  <c r="F153" i="3"/>
  <c r="C153" i="3" s="1"/>
  <c r="I152" i="3"/>
  <c r="F152" i="3"/>
  <c r="C152" i="3" s="1"/>
  <c r="I151" i="3"/>
  <c r="F151" i="3"/>
  <c r="J151" i="3" s="1"/>
  <c r="I150" i="3"/>
  <c r="F150" i="3"/>
  <c r="C150" i="3" s="1"/>
  <c r="I149" i="3"/>
  <c r="F149" i="3"/>
  <c r="J149" i="3" s="1"/>
  <c r="I148" i="3"/>
  <c r="F148" i="3"/>
  <c r="J148" i="3" s="1"/>
  <c r="I147" i="3"/>
  <c r="F147" i="3"/>
  <c r="C147" i="3" s="1"/>
  <c r="I146" i="3"/>
  <c r="F146" i="3"/>
  <c r="C146" i="3" s="1"/>
  <c r="I145" i="3"/>
  <c r="F145" i="3"/>
  <c r="J145" i="3" s="1"/>
  <c r="I144" i="3"/>
  <c r="F144" i="3"/>
  <c r="J144" i="3" s="1"/>
  <c r="I143" i="3"/>
  <c r="F143" i="3"/>
  <c r="J143" i="3" s="1"/>
  <c r="I142" i="3"/>
  <c r="F142" i="3"/>
  <c r="J142" i="3" s="1"/>
  <c r="I141" i="3"/>
  <c r="F141" i="3"/>
  <c r="C141" i="3" s="1"/>
  <c r="I140" i="3"/>
  <c r="F140" i="3"/>
  <c r="C140" i="3" s="1"/>
  <c r="I139" i="3"/>
  <c r="F139" i="3"/>
  <c r="J139" i="3" s="1"/>
  <c r="I138" i="3"/>
  <c r="F138" i="3"/>
  <c r="J138" i="3" s="1"/>
  <c r="I137" i="3"/>
  <c r="F137" i="3"/>
  <c r="J137" i="3" s="1"/>
  <c r="I136" i="3"/>
  <c r="F136" i="3"/>
  <c r="I135" i="3"/>
  <c r="F135" i="3"/>
  <c r="K135" i="3" s="1"/>
  <c r="I134" i="3"/>
  <c r="F134" i="3"/>
  <c r="J134" i="3" s="1"/>
  <c r="I133" i="3"/>
  <c r="F133" i="3"/>
  <c r="C133" i="3" s="1"/>
  <c r="I132" i="3"/>
  <c r="F132" i="3"/>
  <c r="J132" i="3" s="1"/>
  <c r="I131" i="3"/>
  <c r="F131" i="3"/>
  <c r="J131" i="3" s="1"/>
  <c r="I130" i="3"/>
  <c r="F130" i="3"/>
  <c r="J130" i="3" s="1"/>
  <c r="I129" i="3"/>
  <c r="F129" i="3"/>
  <c r="J129" i="3" s="1"/>
  <c r="I128" i="3"/>
  <c r="F128" i="3"/>
  <c r="J128" i="3" s="1"/>
  <c r="I127" i="3"/>
  <c r="F127" i="3"/>
  <c r="C127" i="3" s="1"/>
  <c r="I125" i="3"/>
  <c r="F125" i="3"/>
  <c r="C125" i="3" s="1"/>
  <c r="I124" i="3"/>
  <c r="F124" i="3"/>
  <c r="J124" i="3" s="1"/>
  <c r="I123" i="3"/>
  <c r="F123" i="3"/>
  <c r="J123" i="3" s="1"/>
  <c r="I122" i="3"/>
  <c r="F122" i="3"/>
  <c r="C122" i="3" s="1"/>
  <c r="I121" i="3"/>
  <c r="F121" i="3"/>
  <c r="J121" i="3" s="1"/>
  <c r="I120" i="3"/>
  <c r="F120" i="3"/>
  <c r="C120" i="3" s="1"/>
  <c r="I119" i="3"/>
  <c r="F119" i="3"/>
  <c r="C119" i="3" s="1"/>
  <c r="I118" i="3"/>
  <c r="F118" i="3"/>
  <c r="I117" i="3"/>
  <c r="F117" i="3"/>
  <c r="J117" i="3" s="1"/>
  <c r="I116" i="3"/>
  <c r="F116" i="3"/>
  <c r="C116" i="3" s="1"/>
  <c r="I115" i="3"/>
  <c r="F115" i="3"/>
  <c r="I114" i="3"/>
  <c r="F114" i="3"/>
  <c r="C114" i="3" s="1"/>
  <c r="I113" i="3"/>
  <c r="F113" i="3"/>
  <c r="C113" i="3" s="1"/>
  <c r="I112" i="3"/>
  <c r="F112" i="3"/>
  <c r="C112" i="3" s="1"/>
  <c r="I111" i="3"/>
  <c r="F111" i="3"/>
  <c r="I110" i="3"/>
  <c r="F110" i="3"/>
  <c r="J110" i="3" s="1"/>
  <c r="I109" i="3"/>
  <c r="F109" i="3"/>
  <c r="C109" i="3" s="1"/>
  <c r="I108" i="3"/>
  <c r="F108" i="3"/>
  <c r="I107" i="3"/>
  <c r="F107" i="3"/>
  <c r="K107" i="3" s="1"/>
  <c r="I106" i="3"/>
  <c r="F106" i="3"/>
  <c r="C106" i="3" s="1"/>
  <c r="I105" i="3"/>
  <c r="F105" i="3"/>
  <c r="C105" i="3" s="1"/>
  <c r="I104" i="3"/>
  <c r="F104" i="3"/>
  <c r="J104" i="3" s="1"/>
  <c r="I101" i="3"/>
  <c r="F101" i="3"/>
  <c r="C101" i="3" s="1"/>
  <c r="I100" i="3"/>
  <c r="F100" i="3"/>
  <c r="C100" i="3" s="1"/>
  <c r="I99" i="3"/>
  <c r="F99" i="3"/>
  <c r="C99" i="3" s="1"/>
  <c r="I97" i="3"/>
  <c r="F97" i="3"/>
  <c r="C97" i="3" s="1"/>
  <c r="I96" i="3"/>
  <c r="F96" i="3"/>
  <c r="J96" i="3" s="1"/>
  <c r="I95" i="3"/>
  <c r="F95" i="3"/>
  <c r="C95" i="3" s="1"/>
  <c r="I93" i="3"/>
  <c r="F93" i="3"/>
  <c r="J93" i="3" s="1"/>
  <c r="I92" i="3"/>
  <c r="F92" i="3"/>
  <c r="I90" i="3"/>
  <c r="F90" i="3"/>
  <c r="J90" i="3" s="1"/>
  <c r="I89" i="3"/>
  <c r="F89" i="3"/>
  <c r="J89" i="3" s="1"/>
  <c r="I88" i="3"/>
  <c r="F88" i="3"/>
  <c r="C88" i="3" s="1"/>
  <c r="I87" i="3"/>
  <c r="F87" i="3"/>
  <c r="J87" i="3" s="1"/>
  <c r="I86" i="3"/>
  <c r="F86" i="3"/>
  <c r="C86" i="3" s="1"/>
  <c r="I85" i="3"/>
  <c r="F85" i="3"/>
  <c r="J85" i="3" s="1"/>
  <c r="I84" i="3"/>
  <c r="F84" i="3"/>
  <c r="J84" i="3" s="1"/>
  <c r="I83" i="3"/>
  <c r="F83" i="3"/>
  <c r="J83" i="3" s="1"/>
  <c r="I82" i="3"/>
  <c r="F82" i="3"/>
  <c r="J82" i="3" s="1"/>
  <c r="I81" i="3"/>
  <c r="F81" i="3"/>
  <c r="J81" i="3" s="1"/>
  <c r="I80" i="3"/>
  <c r="F80" i="3"/>
  <c r="J80" i="3" s="1"/>
  <c r="I79" i="3"/>
  <c r="F79" i="3"/>
  <c r="C79" i="3" s="1"/>
  <c r="I78" i="3"/>
  <c r="F78" i="3"/>
  <c r="C78" i="3" s="1"/>
  <c r="I76" i="3"/>
  <c r="F76" i="3"/>
  <c r="I75" i="3"/>
  <c r="F75" i="3"/>
  <c r="J75" i="3" s="1"/>
  <c r="K74" i="3"/>
  <c r="I73" i="3"/>
  <c r="F73" i="3"/>
  <c r="K73" i="3" s="1"/>
  <c r="I72" i="3"/>
  <c r="F72" i="3"/>
  <c r="K72" i="3" s="1"/>
  <c r="I71" i="3"/>
  <c r="F71" i="3"/>
  <c r="K71" i="3" s="1"/>
  <c r="I69" i="3"/>
  <c r="F69" i="3"/>
  <c r="K69" i="3" s="1"/>
  <c r="K68" i="3" s="1"/>
  <c r="I67" i="3"/>
  <c r="F67" i="3"/>
  <c r="K67" i="3" s="1"/>
  <c r="I66" i="3"/>
  <c r="F66" i="3"/>
  <c r="I64" i="3"/>
  <c r="F64" i="3"/>
  <c r="J64" i="3" s="1"/>
  <c r="I63" i="3"/>
  <c r="F63" i="3"/>
  <c r="I62" i="3"/>
  <c r="F62" i="3"/>
  <c r="K62" i="3" s="1"/>
  <c r="I61" i="3"/>
  <c r="F61" i="3"/>
  <c r="K61" i="3" s="1"/>
  <c r="I60" i="3"/>
  <c r="F60" i="3"/>
  <c r="C60" i="3" s="1"/>
  <c r="I58" i="3"/>
  <c r="F58" i="3"/>
  <c r="J58" i="3" s="1"/>
  <c r="J57" i="3" s="1"/>
  <c r="K57" i="3"/>
  <c r="I56" i="3"/>
  <c r="F56" i="3"/>
  <c r="I55" i="3"/>
  <c r="F55" i="3"/>
  <c r="K55" i="3" s="1"/>
  <c r="I53" i="3"/>
  <c r="F53" i="3"/>
  <c r="C53" i="3" s="1"/>
  <c r="I52" i="3"/>
  <c r="F52" i="3"/>
  <c r="I50" i="3"/>
  <c r="F50" i="3"/>
  <c r="C50" i="3" s="1"/>
  <c r="I49" i="3"/>
  <c r="F49" i="3"/>
  <c r="K49" i="3" s="1"/>
  <c r="I47" i="3"/>
  <c r="F47" i="3"/>
  <c r="C47" i="3" s="1"/>
  <c r="I46" i="3"/>
  <c r="F46" i="3"/>
  <c r="J46" i="3" s="1"/>
  <c r="I45" i="3"/>
  <c r="F45" i="3"/>
  <c r="J45" i="3" s="1"/>
  <c r="I44" i="3"/>
  <c r="F44" i="3"/>
  <c r="K44" i="3" s="1"/>
  <c r="I43" i="3"/>
  <c r="F43" i="3"/>
  <c r="C43" i="3" s="1"/>
  <c r="I42" i="3"/>
  <c r="F42" i="3"/>
  <c r="I41" i="3"/>
  <c r="F41" i="3"/>
  <c r="J41" i="3" s="1"/>
  <c r="I39" i="3"/>
  <c r="F39" i="3"/>
  <c r="I38" i="3"/>
  <c r="F38" i="3"/>
  <c r="J38" i="3" s="1"/>
  <c r="I37" i="3"/>
  <c r="F37" i="3"/>
  <c r="J37" i="3" s="1"/>
  <c r="I36" i="3"/>
  <c r="F36" i="3"/>
  <c r="I35" i="3"/>
  <c r="F35" i="3"/>
  <c r="J35" i="3" s="1"/>
  <c r="I34" i="3"/>
  <c r="I33" i="3"/>
  <c r="F33" i="3"/>
  <c r="I31" i="3"/>
  <c r="F31" i="3"/>
  <c r="I29" i="3"/>
  <c r="F29" i="3"/>
  <c r="J29" i="3" s="1"/>
  <c r="I28" i="3"/>
  <c r="F28" i="3"/>
  <c r="I27" i="3"/>
  <c r="F27" i="3"/>
  <c r="I26" i="3"/>
  <c r="F26" i="3"/>
  <c r="J26" i="3" s="1"/>
  <c r="K25" i="3"/>
  <c r="I23" i="3"/>
  <c r="F23" i="3"/>
  <c r="J23" i="3" s="1"/>
  <c r="I22" i="3"/>
  <c r="F22" i="3"/>
  <c r="J22" i="3" s="1"/>
  <c r="I21" i="3"/>
  <c r="F21" i="3"/>
  <c r="J21" i="3" s="1"/>
  <c r="I20" i="3"/>
  <c r="F20" i="3"/>
  <c r="J20" i="3" s="1"/>
  <c r="I19" i="3"/>
  <c r="F19" i="3"/>
  <c r="J19" i="3" s="1"/>
  <c r="I18" i="3"/>
  <c r="I17" i="3"/>
  <c r="F17" i="3"/>
  <c r="J17" i="3" s="1"/>
  <c r="I16" i="3"/>
  <c r="I15" i="3"/>
  <c r="F15" i="3"/>
  <c r="J15" i="3" s="1"/>
  <c r="I14" i="3"/>
  <c r="F14" i="3"/>
  <c r="I13" i="3"/>
  <c r="F13" i="3"/>
  <c r="J13" i="3" s="1"/>
  <c r="K13" i="3" s="1"/>
  <c r="I12" i="3"/>
  <c r="I11" i="3"/>
  <c r="F11" i="3"/>
  <c r="K11" i="3" s="1"/>
  <c r="I10" i="3"/>
  <c r="F10" i="3"/>
  <c r="I9" i="3"/>
  <c r="F9" i="3"/>
  <c r="J9" i="3" s="1"/>
  <c r="K9" i="3" s="1"/>
  <c r="I8" i="3"/>
  <c r="F8" i="3"/>
  <c r="I7" i="3"/>
  <c r="F7" i="3"/>
  <c r="J7" i="3" s="1"/>
  <c r="F25" i="3" l="1"/>
  <c r="J112" i="4"/>
  <c r="J5" i="4"/>
  <c r="J93" i="4"/>
  <c r="J92" i="4" s="1"/>
  <c r="J59" i="4"/>
  <c r="K59" i="4"/>
  <c r="K24" i="4" s="1"/>
  <c r="K93" i="4"/>
  <c r="K92" i="4" s="1"/>
  <c r="F120" i="4"/>
  <c r="J53" i="4"/>
  <c r="J54" i="4"/>
  <c r="J44" i="4"/>
  <c r="J66" i="4"/>
  <c r="J67" i="4"/>
  <c r="K22" i="3"/>
  <c r="K23" i="3"/>
  <c r="J163" i="3"/>
  <c r="C186" i="3"/>
  <c r="C174" i="3"/>
  <c r="J122" i="3"/>
  <c r="J106" i="3"/>
  <c r="C130" i="3"/>
  <c r="C143" i="3"/>
  <c r="C151" i="3"/>
  <c r="J152" i="3"/>
  <c r="C168" i="3"/>
  <c r="C45" i="3"/>
  <c r="K112" i="3"/>
  <c r="J112" i="3" s="1"/>
  <c r="C62" i="3"/>
  <c r="C142" i="3"/>
  <c r="C184" i="3"/>
  <c r="C41" i="3"/>
  <c r="K113" i="3"/>
  <c r="J113" i="3" s="1"/>
  <c r="C137" i="3"/>
  <c r="C44" i="3"/>
  <c r="C46" i="3"/>
  <c r="J67" i="3"/>
  <c r="C71" i="3"/>
  <c r="F74" i="3"/>
  <c r="F91" i="3"/>
  <c r="C96" i="3"/>
  <c r="J100" i="3"/>
  <c r="C110" i="3"/>
  <c r="J116" i="3"/>
  <c r="C128" i="3"/>
  <c r="C132" i="3"/>
  <c r="J133" i="3"/>
  <c r="C157" i="3"/>
  <c r="J158" i="3"/>
  <c r="F167" i="3"/>
  <c r="C49" i="3"/>
  <c r="C80" i="3"/>
  <c r="C82" i="3"/>
  <c r="C87" i="3"/>
  <c r="J88" i="3"/>
  <c r="J119" i="3"/>
  <c r="J141" i="3"/>
  <c r="J147" i="3"/>
  <c r="F170" i="3"/>
  <c r="J173" i="3"/>
  <c r="J27" i="3"/>
  <c r="C69" i="3"/>
  <c r="C75" i="3"/>
  <c r="C104" i="3"/>
  <c r="J125" i="3"/>
  <c r="C131" i="3"/>
  <c r="J146" i="3"/>
  <c r="C156" i="3"/>
  <c r="C81" i="3"/>
  <c r="C185" i="3"/>
  <c r="J49" i="3"/>
  <c r="C64" i="3"/>
  <c r="C67" i="3"/>
  <c r="C72" i="3"/>
  <c r="C83" i="3"/>
  <c r="C85" i="3"/>
  <c r="C90" i="3"/>
  <c r="C93" i="3"/>
  <c r="F94" i="3"/>
  <c r="J101" i="3"/>
  <c r="C107" i="3"/>
  <c r="J114" i="3"/>
  <c r="C117" i="3"/>
  <c r="J120" i="3"/>
  <c r="C123" i="3"/>
  <c r="J127" i="3"/>
  <c r="C135" i="3"/>
  <c r="C139" i="3"/>
  <c r="J140" i="3"/>
  <c r="C144" i="3"/>
  <c r="C149" i="3"/>
  <c r="J153" i="3"/>
  <c r="C159" i="3"/>
  <c r="C161" i="3"/>
  <c r="K162" i="3"/>
  <c r="J162" i="3" s="1"/>
  <c r="J166" i="3"/>
  <c r="C169" i="3"/>
  <c r="J28" i="3"/>
  <c r="J31" i="3"/>
  <c r="J34" i="3"/>
  <c r="J43" i="3"/>
  <c r="K50" i="3"/>
  <c r="J50" i="3" s="1"/>
  <c r="J79" i="3"/>
  <c r="J86" i="3"/>
  <c r="J95" i="3"/>
  <c r="J105" i="3"/>
  <c r="J109" i="3"/>
  <c r="J150" i="3"/>
  <c r="C154" i="3"/>
  <c r="J155" i="3"/>
  <c r="J183" i="3"/>
  <c r="J182" i="3" s="1"/>
  <c r="K53" i="3"/>
  <c r="J53" i="3" s="1"/>
  <c r="F77" i="3"/>
  <c r="F18" i="3"/>
  <c r="J18" i="3" s="1"/>
  <c r="J14" i="3"/>
  <c r="K14" i="3" s="1"/>
  <c r="K47" i="3"/>
  <c r="J47" i="3" s="1"/>
  <c r="C55" i="3"/>
  <c r="C58" i="3"/>
  <c r="K60" i="3"/>
  <c r="J60" i="3" s="1"/>
  <c r="J71" i="3"/>
  <c r="C73" i="3"/>
  <c r="C84" i="3"/>
  <c r="C89" i="3"/>
  <c r="C92" i="3"/>
  <c r="F98" i="3"/>
  <c r="C134" i="3"/>
  <c r="C138" i="3"/>
  <c r="C148" i="3"/>
  <c r="C160" i="3"/>
  <c r="C171" i="3"/>
  <c r="F175" i="3"/>
  <c r="J175" i="3" s="1"/>
  <c r="J178" i="3"/>
  <c r="F182" i="3"/>
  <c r="C61" i="3"/>
  <c r="C76" i="3"/>
  <c r="C129" i="3"/>
  <c r="C145" i="3"/>
  <c r="F16" i="3"/>
  <c r="J16" i="3" s="1"/>
  <c r="F12" i="3"/>
  <c r="J12" i="3" s="1"/>
  <c r="K15" i="3"/>
  <c r="K17" i="3"/>
  <c r="K19" i="3"/>
  <c r="F65" i="3"/>
  <c r="C66" i="3"/>
  <c r="K66" i="3"/>
  <c r="K65" i="3" s="1"/>
  <c r="J108" i="3"/>
  <c r="C108" i="3"/>
  <c r="J8" i="3"/>
  <c r="K8" i="3" s="1"/>
  <c r="J42" i="3"/>
  <c r="C42" i="3"/>
  <c r="F51" i="3"/>
  <c r="C52" i="3"/>
  <c r="K52" i="3"/>
  <c r="J118" i="3"/>
  <c r="C118" i="3"/>
  <c r="K7" i="3"/>
  <c r="J167" i="3"/>
  <c r="J111" i="3"/>
  <c r="C111" i="3"/>
  <c r="J36" i="3"/>
  <c r="J115" i="3"/>
  <c r="C115" i="3"/>
  <c r="C63" i="3"/>
  <c r="K63" i="3"/>
  <c r="C56" i="3"/>
  <c r="K56" i="3"/>
  <c r="J56" i="3" s="1"/>
  <c r="J33" i="3"/>
  <c r="K70" i="3"/>
  <c r="J10" i="3"/>
  <c r="K10" i="3" s="1"/>
  <c r="K39" i="3"/>
  <c r="K32" i="3" s="1"/>
  <c r="F54" i="3"/>
  <c r="J55" i="3"/>
  <c r="J62" i="3"/>
  <c r="F68" i="3"/>
  <c r="J68" i="3" s="1"/>
  <c r="J69" i="3"/>
  <c r="J73" i="3"/>
  <c r="J76" i="3"/>
  <c r="J74" i="3" s="1"/>
  <c r="J78" i="3"/>
  <c r="J92" i="3"/>
  <c r="J91" i="3" s="1"/>
  <c r="J97" i="3"/>
  <c r="J99" i="3"/>
  <c r="F103" i="3"/>
  <c r="J107" i="3"/>
  <c r="J135" i="3"/>
  <c r="K136" i="3"/>
  <c r="J136" i="3" s="1"/>
  <c r="K164" i="3"/>
  <c r="J164" i="3" s="1"/>
  <c r="J44" i="3"/>
  <c r="F57" i="3"/>
  <c r="J61" i="3"/>
  <c r="J72" i="3"/>
  <c r="C165" i="3"/>
  <c r="J171" i="3"/>
  <c r="J176" i="3"/>
  <c r="J179" i="3"/>
  <c r="J181" i="3"/>
  <c r="J180" i="3" s="1"/>
  <c r="F59" i="3"/>
  <c r="F70" i="3"/>
  <c r="C121" i="3"/>
  <c r="C124" i="3"/>
  <c r="C136" i="3"/>
  <c r="C164" i="3"/>
  <c r="C172" i="3"/>
  <c r="C177" i="3"/>
  <c r="F180" i="3"/>
  <c r="F126" i="3"/>
  <c r="K120" i="4" l="1"/>
  <c r="F24" i="3"/>
  <c r="J24" i="4"/>
  <c r="J120" i="4" s="1"/>
  <c r="K103" i="3"/>
  <c r="J170" i="3"/>
  <c r="J77" i="3"/>
  <c r="K51" i="3"/>
  <c r="J51" i="3" s="1"/>
  <c r="J98" i="3"/>
  <c r="K48" i="3"/>
  <c r="J48" i="3" s="1"/>
  <c r="J126" i="3"/>
  <c r="K59" i="3"/>
  <c r="J25" i="3"/>
  <c r="K40" i="3"/>
  <c r="J103" i="3"/>
  <c r="J63" i="3"/>
  <c r="J59" i="3" s="1"/>
  <c r="J70" i="3"/>
  <c r="J94" i="3"/>
  <c r="K54" i="3"/>
  <c r="K126" i="3"/>
  <c r="J65" i="3"/>
  <c r="F102" i="3"/>
  <c r="J52" i="3"/>
  <c r="J66" i="3"/>
  <c r="K102" i="3" l="1"/>
  <c r="J102" i="3"/>
  <c r="K24" i="3"/>
  <c r="K187" i="3" s="1"/>
  <c r="J54" i="3"/>
  <c r="J24" i="3" s="1"/>
  <c r="J187" i="3" s="1"/>
  <c r="F187" i="3"/>
  <c r="M5" i="3"/>
  <c r="I58" i="1" l="1"/>
  <c r="C58" i="1"/>
  <c r="I45" i="1"/>
  <c r="C45" i="1"/>
  <c r="I44" i="1"/>
  <c r="C44" i="1"/>
  <c r="I43" i="1"/>
  <c r="C43" i="1"/>
  <c r="I35" i="1"/>
  <c r="C35" i="1"/>
  <c r="I34" i="1"/>
  <c r="C34" i="1"/>
  <c r="I33" i="1"/>
  <c r="C33" i="1"/>
  <c r="I32" i="1"/>
  <c r="I31" i="1"/>
  <c r="C31" i="1"/>
  <c r="I21" i="1"/>
  <c r="I20" i="1"/>
  <c r="I19" i="1"/>
  <c r="I18" i="1"/>
  <c r="I17" i="1"/>
  <c r="I16" i="1"/>
  <c r="I15" i="1"/>
  <c r="I14" i="1"/>
  <c r="I13" i="1"/>
  <c r="I12" i="1"/>
  <c r="I11" i="1"/>
  <c r="I10" i="1"/>
  <c r="I7" i="1"/>
  <c r="I6" i="1"/>
  <c r="C32" i="1" l="1"/>
  <c r="K16" i="1"/>
  <c r="K14" i="1"/>
  <c r="K13" i="1"/>
  <c r="K12" i="1" l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3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Экономист</author>
  </authors>
  <commentList>
    <comment ref="A10" authorId="0" shapeId="0" xr:uid="{EED6E731-7B78-41FB-A516-1DF8D60D057D}">
      <text>
        <r>
          <rPr>
            <b/>
            <sz val="9"/>
            <color indexed="81"/>
            <rFont val="Tahoma"/>
            <family val="2"/>
            <charset val="204"/>
          </rPr>
          <t>Экономист: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<sst xmlns="http://schemas.openxmlformats.org/spreadsheetml/2006/main" count="879" uniqueCount="475">
  <si>
    <t>Найменування юридичної особи (або позначення фізичної особи)</t>
  </si>
  <si>
    <t>Благодійні пожертви, що були отримані закладом охорони здоров’я від фізичних та юридичних осіб</t>
  </si>
  <si>
    <t>Перелік товарів і послуг в натуральній формі</t>
  </si>
  <si>
    <t>Кількість</t>
  </si>
  <si>
    <t>Всього отримано благодійних пожертв, тис. грн.</t>
  </si>
  <si>
    <t>Використання закладом охорони здоров’я 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</si>
  <si>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 звітного періоду, тис. грн</t>
  </si>
  <si>
    <t>В грошовій формі,                               тис. грн.</t>
  </si>
  <si>
    <t>В натуральній формі (товари і послуги),                      тис. грн.</t>
  </si>
  <si>
    <t>Напрямки використання у грошовій формі                 (стаття витрат)</t>
  </si>
  <si>
    <t>Сума,                          тис. грн</t>
  </si>
  <si>
    <t>Перелік використаних товарів та послуг у натуральній формі</t>
  </si>
  <si>
    <t>Сума,                                тис. грн</t>
  </si>
  <si>
    <t xml:space="preserve">Благодійний Фонд "Меценат"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</si>
  <si>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КЕКВ 2210 Предмети, матеріали, обладнання та інвентар</t>
  </si>
  <si>
    <t>КЕКВ 2220 Медикаменти та перев'язувальні матеріали</t>
  </si>
  <si>
    <t xml:space="preserve">Вироби медичного призначення </t>
  </si>
  <si>
    <t>Середовище культуральне Flushing Medium 5x60ml, паков</t>
  </si>
  <si>
    <t>Середовище культуральне ICSI Cumulase 5x0,5ml, паков</t>
  </si>
  <si>
    <t>Середовище культуральне UTM Transfer Medium, with phenol red 10 ml, паков</t>
  </si>
  <si>
    <t>Середовище культуральне ORIGIO Sequential Fert, 10 ml, паков</t>
  </si>
  <si>
    <t>Середовище культуральне SAGE 1-Step™ with Human Serum Albumin 10 ml, паков</t>
  </si>
  <si>
    <t>Середовище культуральне PVP 10% Ready-To-Use Solution 6x0.5 ml, паков</t>
  </si>
  <si>
    <t>Середовища культуральні Quinn`s Advantage Sperm Freezing Medium 6x12ml, паков</t>
  </si>
  <si>
    <t>STRIPPER® наконечник 1000µm, паков</t>
  </si>
  <si>
    <t>ORIGIO Sperm Wash 10 x 10ml, паков</t>
  </si>
  <si>
    <t>Середовища культуральні PureCeption 24-Determination By-Layer Kit 12 x 12 ml, паков</t>
  </si>
  <si>
    <t>205 Середовища для розморожування (14,4 мл), шт</t>
  </si>
  <si>
    <t>WP Пластикова чашка для вітрифікації (10 од/уп), паков</t>
  </si>
  <si>
    <t>SPD-30 Мікропіпетки для часткового розсічення зони пелюсіда, з кутом 30° (10 од/уп)</t>
  </si>
  <si>
    <t>SIC-50W-35 Інжекторні мікропіпетки для проведення ІКСІ ID:5,0 мм/35° (10 од/уп)</t>
  </si>
  <si>
    <t>K-JETS-7019 Вигнутий катетер для переносу ембріонів, трансферний катетер 2.8Fr-24cm та навігаційний катетер 6.6Fr-17.3cm, шт</t>
  </si>
  <si>
    <t>K-HPIP-1035 Холдінгові мікропіпетки для проведення ІКСІ вн.діаметр 17µm зовнішній діаметр 80µm та кутом 35 градусів, 10 од. в упаковці, паков</t>
  </si>
  <si>
    <t>OOPW-IC06 Oosafe 50 мм чашка, тонка стінка, необроблена поверхня, шт.</t>
  </si>
  <si>
    <t>CR Соломини для вітрифікації (заморожування) Cryotec (10 од/уп), паков</t>
  </si>
  <si>
    <r>
      <t>SIC-50W-35 Інжекторні мікропіпетки для проведення ІКСІ ID:5,0 мм/35</t>
    </r>
    <r>
      <rPr>
        <sz val="12"/>
        <color indexed="8"/>
        <rFont val="Calibri"/>
        <family val="2"/>
        <charset val="204"/>
      </rPr>
      <t>°</t>
    </r>
    <r>
      <rPr>
        <i/>
        <sz val="12"/>
        <color indexed="8"/>
        <rFont val="Times New Roman"/>
        <family val="1"/>
        <charset val="204"/>
      </rPr>
      <t xml:space="preserve"> (10 од/уп)</t>
    </r>
  </si>
  <si>
    <t>K-FPIP-1300-10BS-5 Піпетки для денудації 300 мікрон 5 туб по 10 піпеток (50од./уп.), паков</t>
  </si>
  <si>
    <t>K-OSN-1730-B-90 Однопросвітна голка для забору ооцитів 17g 30cm з ЕСНО типом, аспіраційна лінія 90см, шт.</t>
  </si>
  <si>
    <t>2230 Продукти харчування</t>
  </si>
  <si>
    <t>Батон нарізний молочний</t>
  </si>
  <si>
    <t>Хліб "Гусарик"</t>
  </si>
  <si>
    <t xml:space="preserve">2240 Оплата послуг (крім комунальних) </t>
  </si>
  <si>
    <t>Поточний ремонт автомобіля Opel COMBO 1,4</t>
  </si>
  <si>
    <t>Послуга з опломбування вузла обліку</t>
  </si>
  <si>
    <t>Послуга програмного забеспечення HELSI., 1 послуга за 01.23</t>
  </si>
  <si>
    <t>Послуги шиномонтажу</t>
  </si>
  <si>
    <t>Страховий платіж згідно Полісу обов'язковогострахування</t>
  </si>
  <si>
    <t>Технічне обслуговування та ремонт транспорту</t>
  </si>
  <si>
    <t>Інженерні послуги (екологічна експертиза)</t>
  </si>
  <si>
    <t xml:space="preserve">Послуга з ремонту блоку живлення інкубатора </t>
  </si>
  <si>
    <t>Послуги з обслуговування мережі інтернет</t>
  </si>
  <si>
    <t>Послуги з ремонту та технічного обслуговування медицинського та хірургічного обладнання</t>
  </si>
  <si>
    <t>Поточний ремонт автомобіля  OPEL Combo</t>
  </si>
  <si>
    <t xml:space="preserve">Оплата послуг  з надання доступу до онлайн сервісів Helsi  за лютий </t>
  </si>
  <si>
    <t>2282 Окремі заходи по реалізації державних (регіональних) програм</t>
  </si>
  <si>
    <t>Послуга з навчання з охорони праці</t>
  </si>
  <si>
    <t>3110 Придбання обладнання і предметів довгострокового користування</t>
  </si>
  <si>
    <t>Модернізація силової проводки всередині будівлі</t>
  </si>
  <si>
    <t>Дисектор біполярний</t>
  </si>
  <si>
    <t>Ноутбук ASUS 515</t>
  </si>
  <si>
    <t xml:space="preserve">                                                Державна установа "Центр громадського здоров'я Міністерства охорони здоров'я України"</t>
  </si>
  <si>
    <t>2210 Предмети, матеріали, обладнання та інвентар</t>
  </si>
  <si>
    <t>Монітор пацієнта М-50</t>
  </si>
  <si>
    <t>Монітор пацієнта М-40</t>
  </si>
  <si>
    <t>Інфузійний об'ємний насос</t>
  </si>
  <si>
    <t>Окскарбазепін 600 мг, табл.</t>
  </si>
  <si>
    <t>Ібупрофен 20 мг/мл 200мл, флакон</t>
  </si>
  <si>
    <t>Дексаметазон 1мл, амп.</t>
  </si>
  <si>
    <t>Витратні матеріали/ Pipette micro tips 2x10x96 100-1000 мкл, п/а (кінцевик блакитний 100-1000 мкл), короб</t>
  </si>
  <si>
    <t>Набір медикаментів та витратних матеріалів / RHKIT8 EMERGENCY REPRODUCTIVE HEALTH (1 комплект – 4 коробки) MPL00001298, п/а, компл</t>
  </si>
  <si>
    <t>Набір медикаментів та витратних матеріалів / RHKIT4 EMERGENCY REPRODUCTIVE HEALTH (1 комплект – 1 коробка) MPL00001264, п/а, компл</t>
  </si>
  <si>
    <t>Набір медикаментів та витратних матеріалів / RHKIT5 EMERGENCY REPRODUCTIVE HEALTH (1 комплект – 2 коробки) MPL00001682, п/а, компл</t>
  </si>
  <si>
    <t>Набір медикаментів та витратних матеріалів / RHKIT6В EMERGENCY REPRODUCTIVE HEALTH (1 комплект – 6 коробок) MPL00001251, п/а, компл</t>
  </si>
  <si>
    <t>Полівітаміни з іншими мінералами, включаючи комбінації /15g gran., шт.</t>
  </si>
  <si>
    <t>Полівітаміни з іншими мінералами, включаючи комбінації /2g granulat, шт.</t>
  </si>
  <si>
    <t>Електроліти в комбінації з іншими препаратами / Волюлайт 6% 500 мл, флак.</t>
  </si>
  <si>
    <t>Вода для ін'єкцій 5мл, амп.</t>
  </si>
  <si>
    <t>Моксифлоксацин / Авелокс ® таблетки п/о 400мг, табл.</t>
  </si>
  <si>
    <t>Моксифлоксацин / Авелокс ® розчин для інфузій 250мл (400мг), флак.</t>
  </si>
  <si>
    <t>Термоковдра на поліетиленовій основі завширшки 160см, завдовжки 210см,для надання першої допомоги, шт.</t>
  </si>
  <si>
    <t>Витратні матеріали/ Канюлі G16 без ін'єкційного порту, шт.</t>
  </si>
  <si>
    <t>Рукавиці оглядові нестерильні, пар.</t>
  </si>
  <si>
    <t>Спірометр стимулюючий 4000мл, п/а, шт.</t>
  </si>
  <si>
    <t>Педіатричний пульсоксиметр датчик з наклейкою</t>
  </si>
  <si>
    <t>Датчик пульса з наклейкою для дорослих та дітей, шт.</t>
  </si>
  <si>
    <t>Датчик пульса з наклейкою для дорослих, шт.</t>
  </si>
  <si>
    <t>Серветки сухі, шт.</t>
  </si>
  <si>
    <t>Витратні матеріали / Подовжувач інфузійний / BD Alaris 200cm 1,5ml, шт.</t>
  </si>
  <si>
    <t>Витратні матеріали / Шапочка мед.одноразова, синього кольору, шт.</t>
  </si>
  <si>
    <t>Ривароксабан / Ксарелто табл.в/о 20мг, табл.</t>
  </si>
  <si>
    <t>Пропофол / Diprivan 1% 20мл, флак.</t>
  </si>
  <si>
    <t>Бупівакаїн / Маркаїн розчин д.ін 5мг/мл 20мл, амп.</t>
  </si>
  <si>
    <t>Шприци з голками (різного обсягу) / Шприци 5мл, шт.</t>
  </si>
  <si>
    <t>Крапельниці та катетери / Закрита катетерна система 20GA  1,25IN, 1,1x32mm, шт.</t>
  </si>
  <si>
    <t>Катетери для периферичних вен (різних розмірів) / Внутрішньовенний катетер з захисною плівкою 1,8х45мм 16G, шт.</t>
  </si>
  <si>
    <t>Підгузки дорослі / Підгузки для дорослих, розмір XL, шт.</t>
  </si>
  <si>
    <t>Підгузки дорослі / Підгузки для дорослих, розмір L, шт.</t>
  </si>
  <si>
    <t>Залізо, вітамін В12 та фолієва кислота / Ferrous salt 60mg iron / Folic acid 0,4mg табл.</t>
  </si>
  <si>
    <t>Норетинодрел та естроген / LOESTRIN FE 1,5mg-0,03mg, табл.</t>
  </si>
  <si>
    <t>Окуляри захисні / Захисні окуляри з еластичною пов'язкою на голову, шт.</t>
  </si>
  <si>
    <t>Шприци з голками (різного обсягу) / Шприц з безпечною голкою 25G х 1", шт.</t>
  </si>
  <si>
    <t>Еноксапарин 60мг/0,6мл, амп.</t>
  </si>
  <si>
    <t>Еноксапарин 40мг/0,4мл, амп.</t>
  </si>
  <si>
    <t>Етинілестрадіол, табл.</t>
  </si>
  <si>
    <t>Набір для промивання шлунка, шт.</t>
  </si>
  <si>
    <t>Рукавички медичні оглядові нітрилові нестерильні (розмір L), шт.</t>
  </si>
  <si>
    <t>Набір для катетеризації сечового міхура, шт.</t>
  </si>
  <si>
    <t>Витратні матеріали / Urine bag 2 I,non-ret. Valves, шт.</t>
  </si>
  <si>
    <t>Витратні матеріали / Nasal oxygen cannula 2 prongs+tube, шт.</t>
  </si>
  <si>
    <t>Рукавички медичні оглядові нітрилові нестерильні (розмір S), шт.</t>
  </si>
  <si>
    <t>Рукавички медичні оглядові нітрилові нестерильні (розмір M), шт.</t>
  </si>
  <si>
    <t>Витратні матеріали / Bag plastic for health card 16x22cm, шт.</t>
  </si>
  <si>
    <t>Окуляри захисні, шт.</t>
  </si>
  <si>
    <t>Шприц 10ml</t>
  </si>
  <si>
    <t>Шприц 5ml</t>
  </si>
  <si>
    <t>Шприц 2ml</t>
  </si>
  <si>
    <t>Шприци з голками (різного обсягу) / Шприц одноразовий 3 мл, шт.</t>
  </si>
  <si>
    <t>Шприци з голками (різного обсягу) / Шприц одноразовий 5 мл, шт.</t>
  </si>
  <si>
    <t xml:space="preserve">Медичні маски / Маска медична захисна, шт. </t>
  </si>
  <si>
    <t>Бупівакаїн / Bucain 0,25% 2,5mg/ml 125mg/50ml флакон 50мл, флак.</t>
  </si>
  <si>
    <t>Бупівакаїн / Bucain 0,25% 2,5mg/ml 50mg/20ml флакон 20мл, флак.</t>
  </si>
  <si>
    <t>Бупівакаїн / Bucain 0,5% 5mg/ml 250mg/50ml флакон, флак.</t>
  </si>
  <si>
    <t>Бупівакаїн / Bucain 0,25% 2,5mg/ml 50mg/20ml бут., флак.</t>
  </si>
  <si>
    <t>Вітаміни / Мінісан 5 мкг 200МЕ (віт.Д3), шт.</t>
  </si>
  <si>
    <t>Ліжко лікарняне Stryker 7600-000-900 Emergency Relief bed</t>
  </si>
  <si>
    <t>Матрац</t>
  </si>
  <si>
    <t>Модуль для монітора пацієнта</t>
  </si>
  <si>
    <t>Апарат моніторінгу кардіотокографії</t>
  </si>
  <si>
    <t>Апарат штучної вентиляції легенів Venslstor VG70 E TIP 608/n/a</t>
  </si>
  <si>
    <t>Обладнання /Апарат моніторингу кардіографії /Candiolocodraphymonitiring device n/a</t>
  </si>
  <si>
    <t>Благодійна організація "Благодійний фонд Фортечний"</t>
  </si>
  <si>
    <t>Сонячний світильник ScheiderElectric mobiya Lite AEP LL01-5100</t>
  </si>
  <si>
    <t xml:space="preserve"> Обігрівач конвекторний BY 1208</t>
  </si>
  <si>
    <t>Нагрівач мат Cable lhpe 420 W A 691673</t>
  </si>
  <si>
    <t>Нагрівач мат Cable lhpe 520 W A 691674</t>
  </si>
  <si>
    <t xml:space="preserve"> Продовжувач на катушці Legrand H07RNF 3g2/5mm)(25m)50758</t>
  </si>
  <si>
    <t>Представництво "Проджект хоуп-зе піпл-ту-піпл хелс фаундейшн, інк" в Україні</t>
  </si>
  <si>
    <t>Бетонна плита під генератор з монтажем</t>
  </si>
  <si>
    <t>Комплект грілка - переноска для немовлят / Embrace Nest Infant Warmer Starter</t>
  </si>
  <si>
    <t>Переноска  /Baby Wrap Embrace</t>
  </si>
  <si>
    <t>Тепловий елемент / Warm Pack Embrace</t>
  </si>
  <si>
    <t>ВСЬОГО за І квартал 2023 року</t>
  </si>
  <si>
    <t xml:space="preserve">Голова комісії </t>
  </si>
  <si>
    <t xml:space="preserve">Медичний директор </t>
  </si>
  <si>
    <t xml:space="preserve">_____________________ </t>
  </si>
  <si>
    <t>Ганжа Н.Г.</t>
  </si>
  <si>
    <t>Чоени комісії</t>
  </si>
  <si>
    <t xml:space="preserve">Головна медична сестра </t>
  </si>
  <si>
    <t>_____________________</t>
  </si>
  <si>
    <t>Іваштенко В.В.</t>
  </si>
  <si>
    <t xml:space="preserve">Головний бухгалтер </t>
  </si>
  <si>
    <t>Потапенко Л.В.</t>
  </si>
  <si>
    <t xml:space="preserve">Фармацефт </t>
  </si>
  <si>
    <t>Кісельова І.А.</t>
  </si>
  <si>
    <t xml:space="preserve">Благодійний Фонд "Меценат"  </t>
  </si>
  <si>
    <t>Державна установа "Центр громадського здоров'я Міністерства охорони здоров'я України"</t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</si>
  <si>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2 квартал 2023 року.</t>
  </si>
  <si>
    <t>Машина пральна "SAMSUNG"</t>
  </si>
  <si>
    <t>Будівелльні матеріали</t>
  </si>
  <si>
    <t xml:space="preserve">2 квартал 2023 року </t>
  </si>
  <si>
    <t>Дизельное паливо</t>
  </si>
  <si>
    <t xml:space="preserve">Подушки, ковдра, простирадло, наволочки </t>
  </si>
  <si>
    <t>Макет догожного знаку</t>
  </si>
  <si>
    <t>Холодильник GRUNHELM GRW-138DD</t>
  </si>
  <si>
    <t>Канцелярське приладдя</t>
  </si>
  <si>
    <t>Тример садовий Gartner BCE-1940</t>
  </si>
  <si>
    <t>Халат медичний чоловічий</t>
  </si>
  <si>
    <t>ЧВ-Пилосмок б/м SAMSUNG VC07M31A1HP/UK</t>
  </si>
  <si>
    <t>Будівелльні матеріали (фарба)</t>
  </si>
  <si>
    <t>Бензин А-95 (в толонах)</t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</si>
  <si>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3 квартал 2023 року.</t>
  </si>
  <si>
    <t xml:space="preserve">3 квартал 2023 року </t>
  </si>
  <si>
    <t>Дизельне паливо</t>
  </si>
  <si>
    <t>Середовище культуральне ORIGIO SpermWash 5x60 ml</t>
  </si>
  <si>
    <t>Середовище культуральне SAGE 1-Step™ with Human Serum Albumin 10 ml</t>
  </si>
  <si>
    <t>205 Середовища для розморожування (середовища 14,4 мл), шт</t>
  </si>
  <si>
    <t>K-НПІП-1035 Холдінгові мікропіпетки для проведення ІКСІ вн. Діаметр 17um зовнішний діаметр 80um та кутом 35 градусів 10 одиниць в упаковці</t>
  </si>
  <si>
    <t>VP Пластикова чашка для вітрифікації (10 од/уп), паков</t>
  </si>
  <si>
    <t>OOPW-FW03 Oosafe 4 лукова чашка, оброблена поверхня,4шт/уп.120шт/ящ</t>
  </si>
  <si>
    <t>OOPW-ОТ10  Oosafe пробирка для заборуооцитів14мл.10шт/уп. 500шт/ящ</t>
  </si>
  <si>
    <t>Послуга з навчання у сфері здійснення публічних закупівель</t>
  </si>
  <si>
    <t>Видаткова накладна</t>
  </si>
  <si>
    <t>LUXEL панель врізна ультратонка LED 600*600мм 220-240V IP20</t>
  </si>
  <si>
    <t>Цемент ТЦ ІІА-В-500Р-Н 25кг</t>
  </si>
  <si>
    <t>Послуга з шиномонтажу</t>
  </si>
  <si>
    <t>Доступ в режимі он-лайн до електроних баз наукової ынформації, інфор. ресурс Довідник головної медичної сестри</t>
  </si>
  <si>
    <t>K-JETS-7019-ЕТ Вигнутий катетер для переносу ембріонів з ЕСНО наконечніком, трансферний катетер 2.8Fr-24cm та навігаційний катетер 6.6Fr-17.3cm, шт</t>
  </si>
  <si>
    <t>K-НРІР-1035 Холдінгові мікропіпетки для проведення ІКСІ вн. діаметр 17um зовнішний діаметр 80um та кутом 35 градусів 10 одиниць в упаковці</t>
  </si>
  <si>
    <t xml:space="preserve">205 Середовища для розморожування (середовища 14,4мл) </t>
  </si>
  <si>
    <t>WP Пластикова чашка для вітрифікації (10 од/уп)</t>
  </si>
  <si>
    <t>Кисневий концентратор 5-10л/хв Oxyen concentrator JAY-5BW 5-liter, 230V, 50HZ, EU plug, n/f</t>
  </si>
  <si>
    <t>Прістрій для обігріву новонароджених/ Baby Heater, n/a</t>
  </si>
  <si>
    <t>Ліжка лікарняні/Hospital beds and mattresses for newdoms, n/a</t>
  </si>
  <si>
    <t>-</t>
  </si>
  <si>
    <t>Комбінації електролітів / Deitajonin 500ml №10 Exp.date 03.2026  500ml</t>
  </si>
  <si>
    <t xml:space="preserve">Рукавички оглядові нестерильні, різних розмірів/Gloves, dishjisable, non-sterile, powder-free, розмір М №100 в упаковці Exp.date 31.12.2025 n/a </t>
  </si>
  <si>
    <t xml:space="preserve">Рукавички оглядові нестерильні, різних розмірів/Gloves, dishjisable, non-sterile, powder-free, розмір L №200 в упаковці Exp.date 31.03.2024 n/a </t>
  </si>
  <si>
    <t xml:space="preserve">Натрій хлорід Sobium Ghloride IBE 9mg/ml solvent for parenteral use 5ml №10 в упаковці .Exp.date 31.03.2025 9mg/ml </t>
  </si>
  <si>
    <t xml:space="preserve">Глюкоза/Glucose B/Braun (monohydrate) 50mg/ml (5%) infusion solution 500ml №10 в упаковці.Exp.date 30.09.2024 5% </t>
  </si>
  <si>
    <t>Медичні маски/Procedure Mask №500 в коробці. Exp.date 07.2025 5%  n/a</t>
  </si>
  <si>
    <t>Автогума Bridgestone Blizzak Revo GZ 185/60R15 845</t>
  </si>
  <si>
    <t>Багаторазова манжета для визначення артеріальноготиску для дорослих Hillrom FlexiPort 11L шт</t>
  </si>
  <si>
    <t>Багаторазова манжета Zool, м'яка для немовлят , 2 трубки 9-13см, з'єднувач із замком, коробка 20шт</t>
  </si>
  <si>
    <t>Сумка для перене сення дефібрілятора  Zool шт</t>
  </si>
  <si>
    <t>Дефібрілятор Zool шт</t>
  </si>
  <si>
    <t>Термометр медичний інфракрасний лобний, шт</t>
  </si>
  <si>
    <t>Антисептик DES 62 флакон</t>
  </si>
  <si>
    <t>Рукавиці оглядові нестерильні, шт</t>
  </si>
  <si>
    <t>Рукавиці оглядові нестерильні, шт.</t>
  </si>
  <si>
    <t>Оксаліплатин 100мг 20мл флак.</t>
  </si>
  <si>
    <t>Флукодифлюкан 200мг таб</t>
  </si>
  <si>
    <t>Моксифлоксацин400мг/250мл флак.</t>
  </si>
  <si>
    <t>MASTER TOOL замазка літол - 24 100г</t>
  </si>
  <si>
    <t>MASTER TOOL Ліска для тримера3,00млх15м "кручений квадрат"</t>
  </si>
  <si>
    <t>Зебра Емаль ПФ-115 "Народний МАЙСТЕР" 2,8кг 538 зелений мох</t>
  </si>
  <si>
    <t>Зебра Емаль ПФ-115 "Народний МАЙСТЕР" 0,9кг 575 червона калина</t>
  </si>
  <si>
    <t>31BEMI 203 оповіщувач звуковий</t>
  </si>
  <si>
    <t>ОС 12У/5А (МРМ-АО12У5А блок живлення</t>
  </si>
  <si>
    <t>CЕRЕSIT клей для плитки СМ177 25кг</t>
  </si>
  <si>
    <t>Провод ШВВП  12*0,75 кабель живлення м.</t>
  </si>
  <si>
    <t>Зажим для провода "универсал-2"</t>
  </si>
  <si>
    <t>STRIPPER® наконечник 1000µm, (20шт/уп) паков</t>
  </si>
  <si>
    <t>Послуги з обслуговування мережі інтернет за 08.2023 1 послуга</t>
  </si>
  <si>
    <t>Послуга вогнегасне оброблення дерев'яних конструкцій горищних приміщень 1 послуга</t>
  </si>
  <si>
    <t>Послуга програмного забеспечення HELSI., 1 послуга за 07.23</t>
  </si>
  <si>
    <t xml:space="preserve">Послуги архівні </t>
  </si>
  <si>
    <t>Монітор медичний для візуалізаціїзображення HD з ендоскопічної камери" NDS Radiance 19"</t>
  </si>
  <si>
    <t>Бюро Всесвітньої організації охорони здоров'яв Україні (ВООЗ)</t>
  </si>
  <si>
    <t>Натрію хлорід 0,9% для внутрішньовенних інфузій 1000мл у флак. №10, упак.</t>
  </si>
  <si>
    <t>Зовнішний електрод до дефібрилятора, шт</t>
  </si>
  <si>
    <t xml:space="preserve">Огородження </t>
  </si>
  <si>
    <t>Цемент</t>
  </si>
  <si>
    <t>Будівельні матеріали та прилади</t>
  </si>
  <si>
    <t>OOTF-TF06 Oosafe 35 мм чашка, необроблена поверхність, шт</t>
  </si>
  <si>
    <t>Послуги з обслуговування мережі інтернет за 07.2023 1 послуга</t>
  </si>
  <si>
    <t>Послуга програмного забеспечення HELSI., 1 послуга за 06.23</t>
  </si>
  <si>
    <t>Воріконазол/Voriconazolo Mylan 200mg №28 в упаковці Exp.date 01.2024 200mg</t>
  </si>
  <si>
    <t xml:space="preserve">Середовище культуральне ORIGIO Seguential Fert™ 10ml </t>
  </si>
  <si>
    <t>ВСЬОГО за ІІІ квартал 2023 року</t>
  </si>
  <si>
    <t xml:space="preserve">Витратні матеріали/ Тампони для очищення шкіри Skin Cleansing Cwad 30x30mm №4000в коробці. Exp.date 08.2025 n/a </t>
  </si>
  <si>
    <r>
      <t>Середовище культуральне UTM</t>
    </r>
    <r>
      <rPr>
        <i/>
        <sz val="8"/>
        <rFont val="Times New Roman"/>
        <family val="1"/>
        <charset val="204"/>
      </rPr>
      <t xml:space="preserve">тм </t>
    </r>
    <r>
      <rPr>
        <i/>
        <sz val="12"/>
        <rFont val="Times New Roman"/>
        <family val="1"/>
        <charset val="204"/>
      </rPr>
      <t>Transfer Medium 10 ml</t>
    </r>
  </si>
  <si>
    <t xml:space="preserve">       ІНФОРМАЦІЯ   ПРО НАДХОДЖЕННЯ І ВИКОРИСТАННЯ БЛАГОДІЙНИХ ПОЖЕРТВ ВІД ФІЗИЧНИХ ТА ЮРИДИЧНИХ ОСІБ3
ДЗ "Український медичний центр акушерства,гінекології та репродуктології МОЗ України"  за 4 квартал 2023 року.</t>
  </si>
  <si>
    <t xml:space="preserve">4 квартал 2023 року </t>
  </si>
  <si>
    <t>Послуга програмного забеспечення HELSI., 1 послуга за 09.23</t>
  </si>
  <si>
    <t>Ручка скоба для дверей</t>
  </si>
  <si>
    <t>Ручка тягнуча</t>
  </si>
  <si>
    <t xml:space="preserve">RPR-carbon-тест 500 визн </t>
  </si>
  <si>
    <t>Глюкоза СпЛ 250</t>
  </si>
  <si>
    <t>Загальний білок СпЛ 250</t>
  </si>
  <si>
    <t>Дісгностичний поліспецифічний антилюдський глобулін анти-С3d M/IG pluc</t>
  </si>
  <si>
    <t xml:space="preserve">Діагностичний моноклональний реагент Анти-В </t>
  </si>
  <si>
    <t>Послуги з обслуговування мережі інтернет за 09.2023 1 послуга</t>
  </si>
  <si>
    <t>Послуги архиву</t>
  </si>
  <si>
    <t>Винилас ткан "Sofitel+№10"</t>
  </si>
  <si>
    <t>Послуга з ремонту камериендоскопічної ELEPS</t>
  </si>
  <si>
    <t>K-JETS-7019-ЕТ Вигнутий катетер для переносу ембріонів, трансферний катетер 2.8Fr-24cm та навігаційний катетер 6.6Fr-17.3cm, шт</t>
  </si>
  <si>
    <t>SIC-50W-35 Інжекторні мікропіпетки для проведення ІКСІ ID:5,0 мм/35° (паков)</t>
  </si>
  <si>
    <t>110 Середовища для вітрифікації (заморожування) (середовища 14,4мл)</t>
  </si>
  <si>
    <t>205 Середовища для розморожування  (заморожування) (середовища 14,4мл)</t>
  </si>
  <si>
    <t>CR Соломинидля вітрифікації (заморожування) Cryotec (10од/уп)</t>
  </si>
  <si>
    <t>OOPW-HD10 Oosafe 10мм чашка, 10 шт./уп.250 шт/ящ</t>
  </si>
  <si>
    <t>OOPW-ІС06 Oosafe 50 мм чашка, тонка стінка, необроблена поверхність 10шт/уп. 500шт/ящ</t>
  </si>
  <si>
    <t>Середовище культуральне OIL for  Tissue Culture 500 ml</t>
  </si>
  <si>
    <t>SPD-30 Мікропіпетки для часткового розсічення зони пелюсіда, з кутом 30° паков</t>
  </si>
  <si>
    <t>Флуконгазол /fluconazol Puren 100 mg №100 в упаковці Exp.date 29.02.2024  100 mg</t>
  </si>
  <si>
    <t>Флуконгазол /fluconazol Puren 100 mg №20 в упаковці Exp.date 29.02.2024  100 mg</t>
  </si>
  <si>
    <t xml:space="preserve">Бупівакаін /Bucain 5 ILO.100 / 20ml №50 в упаковці. Exp.date 28.02.2024  100ml </t>
  </si>
  <si>
    <t xml:space="preserve">Бупівакаін /Bucain 2,5 ILO.50 / 20ml №10 упаковці. Exp.date 31.03.2024  50ml </t>
  </si>
  <si>
    <t>Бензин А-95 (в талонах)</t>
  </si>
  <si>
    <t>ES001 Газовий In-Line фільтр Embryo Shield IVF Prime</t>
  </si>
  <si>
    <t>CN003 Розє'м "мама-тато" для Embryo Shield IVF Prime</t>
  </si>
  <si>
    <t>HL001 Магнітний приймач  Embryo Shield IVF Prime</t>
  </si>
  <si>
    <t>АТРАКУРІУМ- НОВО Розчин для Інєкцій, 10мг/мл по 5мл у флаконах №5</t>
  </si>
  <si>
    <t xml:space="preserve">110 Середовища для вітрифікації (заморожування) (середовища 10,8мл) </t>
  </si>
  <si>
    <t>OOPW-CW05 Oosafe 10мм чашка з центральною лункою з 2 відділеннями, 1з площею для маркування 10 шт./уп. 500 шт/ящ</t>
  </si>
  <si>
    <t xml:space="preserve">OODH-1000 Дезінфектант Oosafe для СО2 інкубаторіі і витяжних шаф з ламінарним потоком, 1л </t>
  </si>
  <si>
    <t>OODSF-02000 Дезінфектант Oosafe для лабораторних поверхонь2л</t>
  </si>
  <si>
    <t>K-OSN-1730 -B-90 Однопросвітнаголка для збору ооцитів17g 30см ЕСНО типом, аспіраційна лінія 90см</t>
  </si>
  <si>
    <t>Пклюшки гігеничні поглинаючи 90*60 №10 IGAR</t>
  </si>
  <si>
    <t>Наконечник до піпет-дозатора 200мкл. універсальний, з фільтром, стерильний (96шт в штативі)</t>
  </si>
  <si>
    <t>Чашка ICSI для IVF, 150265 (зшт/уп) Nunc, уп.3 шт</t>
  </si>
  <si>
    <t>MOHVD-100-Масло для культивування ембріонів (важке), скло, 10мл. фл. 100мл.</t>
  </si>
  <si>
    <t>Середовище культуральне PVP 10% Reaby-To-Use Solution 6x0,5ml 1</t>
  </si>
  <si>
    <t>Послуга програмного забеспечення HELSI., 1 послуга за 10.23</t>
  </si>
  <si>
    <t>Послуги з обслуговування мережі інтернет за 10.2023 1 послуга</t>
  </si>
  <si>
    <t>Послуги пов'язані з утилізацією медичних відходів</t>
  </si>
  <si>
    <t>Послуга з повторноїсертифікації систем управления якістю Заявника на відповідністьвимогам ДСТУ ISO 9001:2015</t>
  </si>
  <si>
    <t>Шприци без головок /Шприц без головки BD Discarbit II,2ml, №100 в упаковці. Exp.date 08.2025 n/а</t>
  </si>
  <si>
    <t>Катетер внутнішньовенний / Двопортова закрита внутрішньовенна катетерна система 20GA, №80 в упаковці Exp.date 07.2024 n/а</t>
  </si>
  <si>
    <t>Набір товарів для огляду за дитиною / Дитячий набір BABY BOX (коробка). Exp.date 09.2024 n/а</t>
  </si>
  <si>
    <t>Шприц з голками (рзного обсягу) / Шприц стерильний з голкою Iml, 23G, T100 в упаковці. Exp.date 02.2026 n/а</t>
  </si>
  <si>
    <t>Фартух / gunova PVC apron black 90*120 cм/№10 в коробі п/а</t>
  </si>
  <si>
    <t>Амоксицилін / Amoxicilin 250mg-bp 1000caps. Exp.date 30.07.2025 250mg</t>
  </si>
  <si>
    <t>Бинт медичний еластичний середньої розтяжності / Medium stretch bandage, ABE lastic, 12 non-sterile permanently elastic №5*10 (50шт в коробі). Exp.date 30.08.2026  n/а</t>
  </si>
  <si>
    <t>Бинт медичний еластичний середньої розтяжності / Medium stretch bandage, ABE lastic, 12 non-sterile permanently elastic №5*10 (50шт в коробі). Exp.date 30.05.2026  n/а</t>
  </si>
  <si>
    <t>Бинт медичний еластичний середньої розтяжності / Medium stretch bandage, ABE lastic, 12 non-sterile permanently elastic №5*10 (50шт в коробі). Exp.date 30.12.2025  n/а</t>
  </si>
  <si>
    <t>Голки / Safery  needief For single use 25G*1,5 (0,5*25mm), №2000 в коробі.  Exp.date 28.04.2026  n/а</t>
  </si>
  <si>
    <t>Шприц без голки / Sterile hypodermic syringes for single use without needie of 2ml, №1200 в коробі. Exp.date 13.01.2026  n/а</t>
  </si>
  <si>
    <t xml:space="preserve">Глюкоза/Glucos Braun 50mg/ml 1000ml №1000ml №10 в коробі.Exp.date 31.08.2024  n/а </t>
  </si>
  <si>
    <t>Дтитяче харчування / Nutritional supplement Eleva Green Stage 900g  (domed lids) №6 в коробі. Exp.date 11.10.2024 900g</t>
  </si>
  <si>
    <t>"ПРОДЖЕКТ ХОУП- ЗЕ ПІПЛ-ТУ-ПІПЛ ХЕЛС ФАУНДЕЙШЕН ІНК"</t>
  </si>
  <si>
    <t xml:space="preserve">Система для трансфузії  крові (180см) 20шттук в коробі /GRA SET UNV BLD W/180 FLT ISS DE (20 pieces in box) </t>
  </si>
  <si>
    <t>Мінірально- вітамінна  підтримка (180 в плішці)/MultipleMicronurtient Supplement PreNatals (180 pieces in bottle)</t>
  </si>
  <si>
    <t>Шприц 2,0мл з голкою (2000штв коробці) S2 2ml LS 18XI-1/2 BPN (100in case/ 20 cases in box)</t>
  </si>
  <si>
    <t>Голка для спинальної пункції 27G (0,4ммх103мм) по 25шт в коробці / WNIT SP SET 27GA 4,06IN (200 in box)</t>
  </si>
  <si>
    <t>ВСЬОГО за ІV квартал 2023 року</t>
  </si>
  <si>
    <t>ДУ " Харківський обласний центр контролю та профілактикихвороб МОЗ"</t>
  </si>
  <si>
    <t>Шнактивованавакцина вірусу грипу/Seasonalinfluenza vaccine norhern hemisphere 10 dose серія Q50523004 термін прид. 30.07.2024</t>
  </si>
  <si>
    <t>ВСЬОГО за ІVквартал 2023 року</t>
  </si>
  <si>
    <t xml:space="preserve">Послуга з ремонту ультразвукового діагностичного апарата "Philips  HD11XE" </t>
  </si>
  <si>
    <t xml:space="preserve">Послуга з ремонту ультразвукового діагностичного апарата "Philips  HD7" </t>
  </si>
  <si>
    <t>Послуга програмного забеспечення HELSI., 1 послуга за 11.23</t>
  </si>
  <si>
    <t>Аудіометр OScreen (PM1610)</t>
  </si>
  <si>
    <t xml:space="preserve">Послуга з ремонту інсуфлятора Ендомедіум </t>
  </si>
  <si>
    <t>Електрод - гачок</t>
  </si>
  <si>
    <t>Послуга з ремонту автомобіля Opel Combo 1,4</t>
  </si>
  <si>
    <t>Туушки кури-бройл. заморожен.</t>
  </si>
  <si>
    <t>OOPW-CW05 Oosafe 50 мм чашка з центральною лункою з 2 відділеннями3 площаю для маркування, 10шт/уу 500шт/ящ 10шт/уп. 500шт/ящ</t>
  </si>
  <si>
    <t>Послуга програмного забеспечення HELSI., 1 послуга за 12.23</t>
  </si>
  <si>
    <t xml:space="preserve"> ORIGIO® Sperm Wash  10*10 ml, паков</t>
  </si>
  <si>
    <t xml:space="preserve">Послуга з постачання програмного забезпечення </t>
  </si>
  <si>
    <t>страхування майна</t>
  </si>
  <si>
    <t>Бензатин пеніцилін/Benzathine peniciline 1,2 MIU powder forinjection, №50 фл. в упаковці, Exp.date 30.11.2024,  1,2 MIU</t>
  </si>
  <si>
    <t>Дитяче харчування / Дитяча суміш 400г</t>
  </si>
  <si>
    <t xml:space="preserve">Набір товарів для догляду за дитиною </t>
  </si>
  <si>
    <t xml:space="preserve">Благодійна організація "БЛАГОДІЙНИЙ ФОНД " ЛІКАРІ БЕЗ КОРДОНІВ ІСПАНІЯ" </t>
  </si>
  <si>
    <t>Ваги механичнідля дорослих 0-150 кг, ділення шкали по 500г</t>
  </si>
  <si>
    <t>EEMDFPOE01-FINGERTIP PULSE OXIMETER (Mightysat 9707)</t>
  </si>
  <si>
    <t>Тримач для флакону 500мл., настінний-рукоятка</t>
  </si>
  <si>
    <t>EHOETABE3DF TABLE, EXAMINATTON dismount, or fold, adjustable head lift (кушетка)</t>
  </si>
  <si>
    <t>ELINCLOG39-CLOGS, operatingtheatre, polyuretane,washable, pair 38-39</t>
  </si>
  <si>
    <t>ELINCLOG39-CLOGS, operatingtheatre, polyuretane,washable, pair 44-45</t>
  </si>
  <si>
    <t>SMSURAZOLD-RAZOR, disposable (cтанок для гоління)</t>
  </si>
  <si>
    <t>EEMDSЗРУ2-ЕЛЕКТРОННИЙ СФІГМОМАНОМЕТР</t>
  </si>
  <si>
    <t>Гідрокортизону ацетат 1% мазь, тюбик, 15-20г</t>
  </si>
  <si>
    <t>Хлорид натрію, 0,9%, 100мл в еластичному контейнері без ПВХ</t>
  </si>
  <si>
    <t>Хлорид натрію, 0,9%, 500мл в еластичному контейнері без ПВХ</t>
  </si>
  <si>
    <t>Цефтріаксон натрію, 1г, порошок для приготування розчину у флаконі</t>
  </si>
  <si>
    <t>Дексаметазону фосфат 4 мг/мл, 1мл</t>
  </si>
  <si>
    <t>Епінефрину (адреналіну) тартрат, 1мг/мл розчин для ін’єкцій 1 мл ампула</t>
  </si>
  <si>
    <t>ЛАБЕТАЛОЛ гідрохлорид, 5 мг/мл, 20мл амп.</t>
  </si>
  <si>
    <t>ОКСИТОЦИН, 10 МО/мл, 1 мл амп.</t>
  </si>
  <si>
    <t>Парацетамол (ацетамінофен), 10 мг/мл, 100мл еластичний контейнер без ПВХ</t>
  </si>
  <si>
    <t>Доксициклін 100мг табл.</t>
  </si>
  <si>
    <t>ЕНАЛАПРИЛУ малеат, 20 мг табл.</t>
  </si>
  <si>
    <t>ЕНАЛАПРИЛУ малеат, 5 мг табл.</t>
  </si>
  <si>
    <t>ЕРИТРОМІЦИН стеарат 500мг табл.</t>
  </si>
  <si>
    <t>Фолієва кислота, 5мг табл.</t>
  </si>
  <si>
    <t>Фосфоміцин трометамол 3г саше</t>
  </si>
  <si>
    <t>Ібупрофен 400 мг табл.</t>
  </si>
  <si>
    <t>ЛАБЕТАЛОЛ гідрохлорид 200мг табл.</t>
  </si>
  <si>
    <t>МЕТИЛДОПА, 250 мг табл.</t>
  </si>
  <si>
    <t>Міфепристону 200 мг табл.</t>
  </si>
  <si>
    <t>МІЗОПРОСТОЛ 200 мкг табл.</t>
  </si>
  <si>
    <t>Омепразол 20 мг капс.</t>
  </si>
  <si>
    <t>Преднізолон 5 мг табл.</t>
  </si>
  <si>
    <t>Тінідазол 500 мг табл.</t>
  </si>
  <si>
    <t>Сульфат цинку, екв. до 20 мг міералу цинку, дисперговані табл.</t>
  </si>
  <si>
    <t>Капелярні трубки з ЕДТК (для швидкого тесту Determine)</t>
  </si>
  <si>
    <t>Шапочка хірургічна, берет, неткана, одноразова</t>
  </si>
  <si>
    <t>Тонометр (свігмоманометр) механічний (анероїдного типу) з манжетою на ліпучці, для дорослих</t>
  </si>
  <si>
    <t>Стетоскоп двосторонній з запасними частинами в комплекті: 1 діфрагма для дорослих, 1 діфрагма педіатрична, 1 пара пластикових навушників</t>
  </si>
  <si>
    <t>Лезо (для скальпеля №4) одноразове, стерильне</t>
  </si>
  <si>
    <t>Ножиці тупокінцеві прямі, 14,5см</t>
  </si>
  <si>
    <t>Набір інструментів для встановлення внутрішньоматкової спіралі (7 інструм.)</t>
  </si>
  <si>
    <t>Бинт еластичний, 6-7см*4м</t>
  </si>
  <si>
    <t>Лейкопластир, на тканинній основі, 2-2,5см*5м</t>
  </si>
  <si>
    <t>Катетер IV безпечний, з накінечником, 20G x 32мм, з крильцями, ІР, рожевий</t>
  </si>
  <si>
    <t>Набір для переливання крові з фільтром 200мк, стерильний, одноразового використання</t>
  </si>
  <si>
    <t>Система для внутрішньовенних інфузій Y-з’єднання, Луер лок входу повітря, стерильна, одноразового використання</t>
  </si>
  <si>
    <t>Шприц 20мл</t>
  </si>
  <si>
    <t>Внутрішньоматкова спираль, мідь, модель TCU 380 А</t>
  </si>
  <si>
    <t>Термометр електронний з точністю 0,1ºС+футляр</t>
  </si>
  <si>
    <t>Тест на Гепатит С (SD Bioline), сироватка/плазма/цільна кров</t>
  </si>
  <si>
    <t>Тест на ВІЛ 1+2 Stat-Pak КОНТРОЛІ 3*0,25 мл</t>
  </si>
  <si>
    <t>Тест HIV 1+2 STAT-PAK для виявлення антитіл до ВІЛ-1 та ВІЛ-2 в сироватці/плазмі/цільній крові, тест</t>
  </si>
  <si>
    <t>Тест на вагітність RST/hCG, для аналізу сечі, 1 смужка</t>
  </si>
  <si>
    <t>Тест на Сифіліс (SD Biotine 3.0), в сироватці/плазмі/цільній крові, 1 тест</t>
  </si>
  <si>
    <t>Аналіз сечі на білки глюкози, 1 смужка</t>
  </si>
  <si>
    <t>Тест сечі на pH, SG, prot, gluc, ket, blood, nit, leuc, 1 смужка</t>
  </si>
  <si>
    <t>Ланцет безпечний для середнього кровотоку, голка 21G*1,8мм, однораз.</t>
  </si>
  <si>
    <t>Ланцет безпечний для низького кровотоку, голка 28G*1,6мм, однораз.</t>
  </si>
  <si>
    <t>Ацетилсаліцилова кислота (аспірин) 75мг гастрорезистентні табл.</t>
  </si>
  <si>
    <t>Аторвастатин кальцію, екв. 20мг табл.</t>
  </si>
  <si>
    <t>Клопідогрель 75мг табл.</t>
  </si>
  <si>
    <t>Лоратадин 10мг табл.</t>
  </si>
  <si>
    <t>Лоток хірургічний ниркоподібний, 26см*14см, нержавіюча сталь</t>
  </si>
  <si>
    <t>Кюретажний набір, 11 інструментів+ 8 подвійних розширювачів</t>
  </si>
  <si>
    <t>Набір для пологів і епізотомії, 7 інструментів</t>
  </si>
  <si>
    <t>Катетер-балон Фолея, 2-х ходовий, уретральний, стерильний, одноразовий</t>
  </si>
  <si>
    <t>Дзеркало вагінальне велике, Ø 30мм, одноразового використання, стерильне</t>
  </si>
  <si>
    <t>Чейз Буфер (для експрес-тесту Determine) 2.5мл</t>
  </si>
  <si>
    <t>Тест на Гепатит В HBsAg (Determine 2) в сироватці/плазмі/цільній крові, 1 тест</t>
  </si>
  <si>
    <t>Контейнер пластиковий для збору зразків сечі, 60мл, нестерильний</t>
  </si>
  <si>
    <t>Окситоцин 10МО/мл, 1мл амп.</t>
  </si>
  <si>
    <t>Кофеїну цитрат, 10мг/мл, екв.5мг основи кофеїну, 1 мл амп.</t>
  </si>
  <si>
    <t>Контейнер одноразовий для використаних шприців</t>
  </si>
  <si>
    <t>Каберголін 0,5мг табл.</t>
  </si>
  <si>
    <t>ДЕКСТРОЗА 10%/ НАТРІЮ ХЛОРИД 0,18% 500мл SR бот.</t>
  </si>
  <si>
    <t>Перметрін 1% бут.</t>
  </si>
  <si>
    <t>Транексам 500мг табл.</t>
  </si>
  <si>
    <t>Баллон+катетер при післяродової кровотечі 500мл</t>
  </si>
  <si>
    <t>Катетер безпечний 20G</t>
  </si>
  <si>
    <t>Маска Амбу</t>
  </si>
  <si>
    <t>Щипці вікончасті 23см</t>
  </si>
  <si>
    <t>Термометр інфракрасний безконтактний</t>
  </si>
  <si>
    <t xml:space="preserve"> Вироби медичного призначення </t>
  </si>
  <si>
    <r>
      <t>Середовище культуральне ORIGIO Sequential Fert</t>
    </r>
    <r>
      <rPr>
        <sz val="12"/>
        <rFont val="Calibri"/>
        <family val="2"/>
        <charset val="204"/>
      </rPr>
      <t>™</t>
    </r>
    <r>
      <rPr>
        <i/>
        <sz val="12"/>
        <rFont val="Times New Roman"/>
        <family val="1"/>
        <charset val="204"/>
      </rPr>
      <t>, 10 ml, паков</t>
    </r>
  </si>
  <si>
    <r>
      <t>Середовище культуральне UTM</t>
    </r>
    <r>
      <rPr>
        <sz val="12"/>
        <rFont val="Calibri"/>
        <family val="2"/>
        <charset val="204"/>
      </rPr>
      <t>™</t>
    </r>
    <r>
      <rPr>
        <i/>
        <sz val="12"/>
        <rFont val="Times New Roman"/>
        <family val="1"/>
        <charset val="204"/>
      </rPr>
      <t xml:space="preserve"> Transfer Medium, with phenol red 10 ml, паков</t>
    </r>
  </si>
  <si>
    <r>
      <t>Середовище культуральне ORIGIO</t>
    </r>
    <r>
      <rPr>
        <sz val="12"/>
        <rFont val="Calibri"/>
        <family val="2"/>
        <charset val="204"/>
      </rPr>
      <t>®</t>
    </r>
    <r>
      <rPr>
        <i/>
        <sz val="12"/>
        <rFont val="Times New Roman"/>
        <family val="1"/>
        <charset val="204"/>
      </rPr>
      <t xml:space="preserve"> Sequential Fert</t>
    </r>
    <r>
      <rPr>
        <sz val="12"/>
        <rFont val="Calibri"/>
        <family val="2"/>
        <charset val="204"/>
      </rPr>
      <t>™</t>
    </r>
    <r>
      <rPr>
        <i/>
        <sz val="12"/>
        <rFont val="Times New Roman"/>
        <family val="1"/>
        <charset val="204"/>
      </rPr>
      <t>, 10 ml, паков</t>
    </r>
  </si>
  <si>
    <r>
      <t>K-НРІР-1035 Холдінгові мікропіпетки для проведення ІКСІ вн. діаметр 17</t>
    </r>
    <r>
      <rPr>
        <sz val="12"/>
        <rFont val="Calibri"/>
        <family val="2"/>
        <charset val="204"/>
      </rPr>
      <t>µ</t>
    </r>
    <r>
      <rPr>
        <i/>
        <sz val="12"/>
        <rFont val="Times New Roman"/>
        <family val="1"/>
        <charset val="204"/>
      </rPr>
      <t>m зовнішний діаметр 80 µm та кутом 35 градусів 10 одиниць в упаковці</t>
    </r>
  </si>
  <si>
    <r>
      <t>K-НПІП-1035 Холдінгові мікропіпетки для проведення ІКСІ вн. Діаметр 17</t>
    </r>
    <r>
      <rPr>
        <sz val="12"/>
        <rFont val="Calibri"/>
        <family val="2"/>
        <charset val="204"/>
      </rPr>
      <t>µ</t>
    </r>
    <r>
      <rPr>
        <i/>
        <sz val="12"/>
        <rFont val="Times New Roman"/>
        <family val="1"/>
        <charset val="204"/>
      </rPr>
      <t>m зовнішний діаметр 80µm та кутом 35 градусів 10 одиниць в упаковці</t>
    </r>
  </si>
  <si>
    <r>
      <t>Середовище культуральне ICSI</t>
    </r>
    <r>
      <rPr>
        <sz val="11"/>
        <rFont val="Calibri"/>
        <family val="2"/>
        <charset val="204"/>
      </rPr>
      <t>®</t>
    </r>
    <r>
      <rPr>
        <i/>
        <sz val="11"/>
        <rFont val="Times New Roman"/>
        <family val="1"/>
        <charset val="204"/>
      </rPr>
      <t xml:space="preserve"> Cumulase 5x0,5ml, паков</t>
    </r>
  </si>
  <si>
    <t>красний  апрель</t>
  </si>
  <si>
    <t xml:space="preserve">голубой  травень </t>
  </si>
  <si>
    <t>зелен червень</t>
  </si>
  <si>
    <t>Функціональне ліжко</t>
  </si>
  <si>
    <t>Сонячні панелі</t>
  </si>
  <si>
    <t>Пральний порошок для машиного та ручного прання</t>
  </si>
  <si>
    <t>Рідкий засіб для ручного миття посуду лл</t>
  </si>
  <si>
    <t>Мішкі для сміття 100шт</t>
  </si>
  <si>
    <t>Папір туал. Обухів65 п/е 8шт.</t>
  </si>
  <si>
    <t>Набір для прибирання (комплект швабра і відро з мех. Віджимом)</t>
  </si>
  <si>
    <t>Змінний моп</t>
  </si>
  <si>
    <t>Відро мірне 12л</t>
  </si>
  <si>
    <t>Щітка для чищення унітазів з відкритою чашею</t>
  </si>
  <si>
    <t>Рукавички побутові універсальні(М)2 шт.</t>
  </si>
  <si>
    <t>Рукавички побутові універсальні(L)2 шт.</t>
  </si>
  <si>
    <t>Одноразова натуральна допомога "Пакунок малюка"</t>
  </si>
  <si>
    <t>Рідке мило "Лаванда та ромашка" 500мл</t>
  </si>
  <si>
    <t>Крем-мило "Молоко та медове" 5кг</t>
  </si>
  <si>
    <t>Таблетки БЛАНІДАС для дезінфекції 300 1кг</t>
  </si>
  <si>
    <t>Рушник 2шар.200лист</t>
  </si>
  <si>
    <t>Засіб для чищення 1л</t>
  </si>
  <si>
    <t>Антисептик для шкіри рук 1000мл з дозатором</t>
  </si>
  <si>
    <t>Послуги з обслуговування в мережі Інтернет веб-сайту http:// center_agr.org.ua/ за червень 2024р.</t>
  </si>
  <si>
    <t xml:space="preserve">Транспортні послуга </t>
  </si>
  <si>
    <t>Послуга програмного забеспечення HELSI., 1 послуга за 06.24</t>
  </si>
  <si>
    <t>2282 Окремі заходи по реалізації державних (регіональних) програм, не віднесених до заходів розвитку</t>
  </si>
  <si>
    <t>Послуги з надання навчання за  "Правилами безпечної експлуатації електроустановок споживачів" та "Правила технічної експлуатації електроустановок споживачів"</t>
  </si>
  <si>
    <t>Інвентор</t>
  </si>
  <si>
    <t>кабель</t>
  </si>
  <si>
    <t>3110 Прдбання обладнання і предметів довгострокового користування</t>
  </si>
  <si>
    <t>Акумулятор 12 В,12 Ач</t>
  </si>
  <si>
    <t>Акумулятор 12 В,17 Ач</t>
  </si>
  <si>
    <t>Акумулятор 12 В,9 Ач</t>
  </si>
  <si>
    <t>Кабель з'єднувальний дляя сонячних панелей</t>
  </si>
  <si>
    <t>Сонячні панелі UNISOLAR US116</t>
  </si>
  <si>
    <t>Перетворювач інвенторний Fronius IG 30 для сонячних панелей</t>
  </si>
  <si>
    <t>Кетамін-ЗН розчин д/ін 50мг/мл по 2мл №10в амп.</t>
  </si>
  <si>
    <t>Сибазон розчин д/ін.5мг/мл по 2мл №10в амп.</t>
  </si>
  <si>
    <t>Омнопон нео розчин д/ін по 1мл №5в амп.</t>
  </si>
  <si>
    <t>Промедол-ЗН розчин д/ін 20мг/мл по 1 мл №10в амп.</t>
  </si>
  <si>
    <t>V-IONO- розчин іонофора Са, 1 мл.</t>
  </si>
  <si>
    <t>Послуги з обслуговування в мережі Інтернет веб-сайту http:// center_agr.org.ua/ за липень 2024р.</t>
  </si>
  <si>
    <t>За послуги з адміністрування М.Е.Dос</t>
  </si>
  <si>
    <t>Послуга програмного забеспечення HELSI., за липень 2024р.</t>
  </si>
  <si>
    <t>Доступ до онлайн-сервісів оновлення програмної продукції: ключа захисту</t>
  </si>
  <si>
    <t xml:space="preserve">За доменне ім'я веб-сайту http:// center_agr.org.ua/ </t>
  </si>
  <si>
    <t>Калькулятор Brilliant BS-777</t>
  </si>
  <si>
    <t>Еритроцити з видаленим лейкотромбоцитарним шаром у додатковому розчині</t>
  </si>
  <si>
    <t>Еритроцити збіднені на лейкоцити у додатковому розчині видаленим лейкотромбоцитарним шаром у додатковому розчині</t>
  </si>
  <si>
    <t>Компанія "БІОХАУС-СТІФТУНГ"</t>
  </si>
  <si>
    <t>DR.-ROHRING-DAMM 82/33102PADERBORN, НІМЕЧІНА</t>
  </si>
  <si>
    <t xml:space="preserve">Представництво "прожект хоуп-зе піплту хелс фаундейшн інк" в Україні </t>
  </si>
  <si>
    <t xml:space="preserve">Міністерство соціальної політики України </t>
  </si>
  <si>
    <t>Громадська організація "КРІЗЬ ВІЙНУ"</t>
  </si>
  <si>
    <t xml:space="preserve">ІІІ квартал 2024 року </t>
  </si>
  <si>
    <t xml:space="preserve">       ІНФОРМАЦІЯ   ПРО НАДХОДЖЕННЯ І ВИКОРИСТАННЯ БЛАГОДІЙНИХ ПОЖЕРТВ ВІД ФІЗИЧНИХ ТА ЮРИДИЧНИХ ОСІБ
ДНП "Український медичний центр акушерства,гінекології та репродуктології МОЗ України"  за ІІІ квартал 2024 року.</t>
  </si>
  <si>
    <t>ВСЬОГО за ІІІ квартал 2024 року</t>
  </si>
  <si>
    <t xml:space="preserve">ВСЬОГО за ІІІ квартал 2024 року    </t>
  </si>
  <si>
    <t>Бельдій І.С.</t>
  </si>
  <si>
    <t>Члени комісії</t>
  </si>
  <si>
    <t>Канцелярські вироби (печатка)</t>
  </si>
  <si>
    <t>ДП " УКРВАКЦИНА" МОЗ України"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</si>
</sst>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  <numFmt numFmtId="167" formatCode="#,##0.00\ _₽"/>
    <numFmt numFmtId="168" formatCode="_-* #,##0.0\ _₽_-;\-* #,##0.0\ _₽_-;_-* &quot;-&quot;??\ _₽_-;_-@_-"/>
    <numFmt numFmtId="169" formatCode="_-* #,##0.000\ _₽_-;\-* #,##0.000\ _₽_-;_-* &quot;-&quot;???\ _₽_-;_-@_-"/>
    <numFmt numFmtId="170" formatCode="_-* #,##0.00\ _₽_-;\-* #,##0.00\ _₽_-;_-* &quot;-&quot;???\ _₽_-;_-@_-"/>
    <numFmt numFmtId="171" formatCode="#,##0.00_ ;\-#,##0.00\ "/>
    <numFmt numFmtId="172" formatCode="_-* #,##0.0\ _₽_-;\-* #,##0.0\ _₽_-;_-* &quot;-&quot;?\ _₽_-;_-@_-"/>
    <numFmt numFmtId="173" formatCode="_-* #,##0.000\ _₽_-;\-* #,##0.000\ _₽_-;_-* &quot;-&quot;??\ _₽_-;_-@_-"/>
    <numFmt numFmtId="174" formatCode="_-* #,##0.000\ _₽_-;\-* #,##0.000\ _₽_-;_-* &quot;-&quot;\ _₽_-;_-@_-"/>
    <numFmt numFmtId="175" formatCode="_-* #,##0\ _₽_-;\-* #,##0\ _₽_-;_-* &quot;-&quot;??\ _₽_-;_-@_-"/>
    <numFmt numFmtId="176" formatCode="0.000"/>
    <numFmt numFmtId="177" formatCode="_-* #,##0.000_р_._-;\-* #,##0.000_р_._-;_-* &quot;-&quot;??_р_._-;_-@_-"/>
    <numFmt numFmtId="178" formatCode="#,##0.000_ ;\-#,##0.000\ "/>
    <numFmt numFmtId="179" formatCode="#,##0_ ;\-#,##0\ "/>
    <numFmt numFmtId="180" formatCode="_-* #,##0\ _₽_-;\-* #,##0\ _₽_-;_-* &quot;-&quot;?\ _₽_-;_-@_-"/>
  </numFmts>
  <fonts count="47" x14ac:knownFonts="1">
    <font>
      <sz val="10"/>
      <name val="Times New Roman Cyr"/>
      <charset val="204"/>
    </font>
    <font>
      <sz val="10"/>
      <name val="Times New Roman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 Cyr"/>
      <charset val="204"/>
    </font>
    <font>
      <sz val="8"/>
      <name val="Times New Roman Cyr"/>
      <charset val="204"/>
    </font>
    <font>
      <b/>
      <sz val="8"/>
      <name val="Times New Roman"/>
      <family val="1"/>
      <charset val="204"/>
    </font>
    <font>
      <i/>
      <sz val="14"/>
      <color theme="5" tint="-0.249977111117893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i/>
      <sz val="13.5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27">
    <xf numFmtId="0" fontId="0" fillId="0" borderId="0" xfId="0"/>
    <xf numFmtId="0" fontId="3" fillId="0" borderId="0" xfId="0" applyFont="1" applyFill="1"/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165" fontId="12" fillId="0" borderId="2" xfId="2" applyNumberFormat="1" applyFont="1" applyFill="1" applyBorder="1" applyAlignment="1">
      <alignment vertical="center" wrapText="1"/>
    </xf>
    <xf numFmtId="0" fontId="5" fillId="0" borderId="0" xfId="0" applyFont="1" applyFill="1"/>
    <xf numFmtId="165" fontId="6" fillId="0" borderId="17" xfId="0" applyNumberFormat="1" applyFont="1" applyFill="1" applyBorder="1" applyAlignment="1">
      <alignment vertical="center"/>
    </xf>
    <xf numFmtId="165" fontId="5" fillId="0" borderId="17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168" fontId="6" fillId="0" borderId="17" xfId="0" applyNumberFormat="1" applyFont="1" applyFill="1" applyBorder="1" applyAlignment="1">
      <alignment vertical="center"/>
    </xf>
    <xf numFmtId="169" fontId="6" fillId="0" borderId="17" xfId="0" applyNumberFormat="1" applyFont="1" applyFill="1" applyBorder="1" applyAlignment="1">
      <alignment vertical="center"/>
    </xf>
    <xf numFmtId="165" fontId="6" fillId="0" borderId="2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 wrapText="1"/>
    </xf>
    <xf numFmtId="165" fontId="5" fillId="0" borderId="20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3" fillId="0" borderId="17" xfId="0" applyFont="1" applyFill="1" applyBorder="1"/>
    <xf numFmtId="0" fontId="3" fillId="0" borderId="0" xfId="0" applyFont="1" applyFill="1" applyBorder="1"/>
    <xf numFmtId="165" fontId="6" fillId="0" borderId="8" xfId="0" applyNumberFormat="1" applyFont="1" applyFill="1" applyBorder="1" applyAlignment="1">
      <alignment vertical="center"/>
    </xf>
    <xf numFmtId="0" fontId="19" fillId="0" borderId="8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vertical="center"/>
    </xf>
    <xf numFmtId="165" fontId="20" fillId="0" borderId="2" xfId="0" applyNumberFormat="1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165" fontId="12" fillId="0" borderId="20" xfId="4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65" fontId="22" fillId="0" borderId="17" xfId="0" applyNumberFormat="1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169" fontId="6" fillId="0" borderId="2" xfId="0" applyNumberFormat="1" applyFont="1" applyFill="1" applyBorder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165" fontId="6" fillId="0" borderId="17" xfId="0" applyNumberFormat="1" applyFont="1" applyFill="1" applyBorder="1" applyAlignment="1">
      <alignment vertical="center" wrapText="1"/>
    </xf>
    <xf numFmtId="170" fontId="6" fillId="0" borderId="17" xfId="0" applyNumberFormat="1" applyFont="1" applyFill="1" applyBorder="1" applyAlignment="1">
      <alignment vertical="center"/>
    </xf>
    <xf numFmtId="165" fontId="6" fillId="0" borderId="17" xfId="1" applyFont="1" applyFill="1" applyBorder="1" applyAlignment="1">
      <alignment vertical="center"/>
    </xf>
    <xf numFmtId="170" fontId="6" fillId="0" borderId="8" xfId="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vertical="center" wrapText="1"/>
    </xf>
    <xf numFmtId="165" fontId="6" fillId="0" borderId="25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0" fontId="23" fillId="0" borderId="17" xfId="4" applyFont="1" applyFill="1" applyBorder="1" applyAlignment="1">
      <alignment horizontal="center" vertical="center" wrapText="1"/>
    </xf>
    <xf numFmtId="0" fontId="23" fillId="0" borderId="8" xfId="4" applyFont="1" applyFill="1" applyBorder="1" applyAlignment="1">
      <alignment horizontal="center" vertical="center" wrapText="1"/>
    </xf>
    <xf numFmtId="169" fontId="12" fillId="0" borderId="17" xfId="4" applyNumberFormat="1" applyFont="1" applyFill="1" applyBorder="1" applyAlignment="1">
      <alignment vertical="center" wrapText="1"/>
    </xf>
    <xf numFmtId="0" fontId="15" fillId="0" borderId="17" xfId="4" applyFont="1" applyFill="1" applyBorder="1" applyAlignment="1">
      <alignment horizontal="center" vertical="center" wrapText="1"/>
    </xf>
    <xf numFmtId="0" fontId="15" fillId="0" borderId="8" xfId="4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7" xfId="4" applyFont="1" applyFill="1" applyBorder="1" applyAlignment="1">
      <alignment horizontal="center" vertical="center" wrapText="1"/>
    </xf>
    <xf numFmtId="0" fontId="4" fillId="0" borderId="0" xfId="0" applyFont="1" applyFill="1"/>
    <xf numFmtId="165" fontId="6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70" fontId="6" fillId="0" borderId="22" xfId="0" applyNumberFormat="1" applyFont="1" applyFill="1" applyBorder="1" applyAlignment="1">
      <alignment vertical="center"/>
    </xf>
    <xf numFmtId="170" fontId="6" fillId="0" borderId="18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 wrapText="1"/>
    </xf>
    <xf numFmtId="166" fontId="6" fillId="0" borderId="18" xfId="0" applyNumberFormat="1" applyFont="1" applyFill="1" applyBorder="1" applyAlignment="1">
      <alignment vertical="center"/>
    </xf>
    <xf numFmtId="170" fontId="6" fillId="0" borderId="14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5" fillId="0" borderId="0" xfId="0" applyFont="1" applyFill="1" applyBorder="1"/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169" fontId="5" fillId="0" borderId="0" xfId="0" applyNumberFormat="1" applyFont="1" applyFill="1" applyBorder="1"/>
    <xf numFmtId="165" fontId="12" fillId="0" borderId="14" xfId="2" applyNumberFormat="1" applyFont="1" applyFill="1" applyBorder="1" applyAlignment="1">
      <alignment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169" fontId="6" fillId="0" borderId="17" xfId="0" applyNumberFormat="1" applyFont="1" applyFill="1" applyBorder="1" applyAlignment="1">
      <alignment horizontal="center" vertical="center"/>
    </xf>
    <xf numFmtId="169" fontId="6" fillId="0" borderId="18" xfId="0" applyNumberFormat="1" applyFont="1" applyFill="1" applyBorder="1" applyAlignment="1">
      <alignment vertical="center"/>
    </xf>
    <xf numFmtId="2" fontId="6" fillId="0" borderId="18" xfId="0" applyNumberFormat="1" applyFont="1" applyFill="1" applyBorder="1" applyAlignment="1">
      <alignment horizontal="center" vertical="center"/>
    </xf>
    <xf numFmtId="171" fontId="6" fillId="0" borderId="18" xfId="0" applyNumberFormat="1" applyFont="1" applyFill="1" applyBorder="1" applyAlignment="1">
      <alignment horizontal="center" vertical="center"/>
    </xf>
    <xf numFmtId="170" fontId="6" fillId="0" borderId="17" xfId="0" applyNumberFormat="1" applyFont="1" applyFill="1" applyBorder="1" applyAlignment="1">
      <alignment horizontal="center" vertical="center"/>
    </xf>
    <xf numFmtId="170" fontId="6" fillId="0" borderId="1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20" fillId="0" borderId="2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/>
    </xf>
    <xf numFmtId="165" fontId="12" fillId="0" borderId="2" xfId="2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/>
    </xf>
    <xf numFmtId="165" fontId="20" fillId="0" borderId="2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12" fillId="0" borderId="17" xfId="4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70" fontId="6" fillId="0" borderId="20" xfId="0" applyNumberFormat="1" applyFont="1" applyFill="1" applyBorder="1" applyAlignment="1">
      <alignment vertical="center"/>
    </xf>
    <xf numFmtId="170" fontId="6" fillId="0" borderId="26" xfId="0" applyNumberFormat="1" applyFont="1" applyFill="1" applyBorder="1" applyAlignment="1">
      <alignment vertical="center"/>
    </xf>
    <xf numFmtId="170" fontId="6" fillId="0" borderId="21" xfId="0" applyNumberFormat="1" applyFont="1" applyFill="1" applyBorder="1" applyAlignment="1">
      <alignment vertical="center"/>
    </xf>
    <xf numFmtId="165" fontId="12" fillId="0" borderId="8" xfId="4" applyNumberFormat="1" applyFont="1" applyFill="1" applyBorder="1" applyAlignment="1">
      <alignment vertical="center" wrapText="1"/>
    </xf>
    <xf numFmtId="165" fontId="6" fillId="0" borderId="25" xfId="0" applyNumberFormat="1" applyFont="1" applyFill="1" applyBorder="1" applyAlignment="1">
      <alignment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169" fontId="6" fillId="0" borderId="8" xfId="0" applyNumberFormat="1" applyFont="1" applyFill="1" applyBorder="1" applyAlignment="1">
      <alignment vertical="center"/>
    </xf>
    <xf numFmtId="165" fontId="20" fillId="0" borderId="25" xfId="0" applyNumberFormat="1" applyFont="1" applyFill="1" applyBorder="1" applyAlignment="1">
      <alignment horizontal="center" vertical="center" wrapText="1"/>
    </xf>
    <xf numFmtId="169" fontId="6" fillId="0" borderId="8" xfId="0" applyNumberFormat="1" applyFont="1" applyFill="1" applyBorder="1" applyAlignment="1">
      <alignment horizontal="center" vertical="center"/>
    </xf>
    <xf numFmtId="165" fontId="6" fillId="0" borderId="2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23" fillId="0" borderId="20" xfId="4" applyFont="1" applyFill="1" applyBorder="1" applyAlignment="1">
      <alignment horizontal="center" vertical="center" wrapText="1"/>
    </xf>
    <xf numFmtId="169" fontId="12" fillId="0" borderId="8" xfId="4" applyNumberFormat="1" applyFont="1" applyFill="1" applyBorder="1" applyAlignment="1">
      <alignment vertical="center" wrapText="1"/>
    </xf>
    <xf numFmtId="170" fontId="6" fillId="0" borderId="8" xfId="0" applyNumberFormat="1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4" fillId="0" borderId="20" xfId="4" applyFont="1" applyFill="1" applyBorder="1" applyAlignment="1">
      <alignment horizontal="center" vertical="center" wrapText="1"/>
    </xf>
    <xf numFmtId="165" fontId="20" fillId="0" borderId="2" xfId="0" applyNumberFormat="1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>
      <alignment vertical="center"/>
    </xf>
    <xf numFmtId="164" fontId="5" fillId="0" borderId="20" xfId="0" applyNumberFormat="1" applyFont="1" applyFill="1" applyBorder="1" applyAlignment="1">
      <alignment vertical="center"/>
    </xf>
    <xf numFmtId="172" fontId="5" fillId="0" borderId="17" xfId="0" applyNumberFormat="1" applyFont="1" applyFill="1" applyBorder="1" applyAlignment="1">
      <alignment vertical="center"/>
    </xf>
    <xf numFmtId="172" fontId="15" fillId="0" borderId="17" xfId="4" applyNumberFormat="1" applyFont="1" applyFill="1" applyBorder="1" applyAlignment="1">
      <alignment vertical="center" wrapText="1"/>
    </xf>
    <xf numFmtId="164" fontId="15" fillId="0" borderId="17" xfId="4" applyNumberFormat="1" applyFont="1" applyFill="1" applyBorder="1" applyAlignment="1">
      <alignment vertical="center" wrapText="1"/>
    </xf>
    <xf numFmtId="164" fontId="15" fillId="0" borderId="8" xfId="4" applyNumberFormat="1" applyFont="1" applyFill="1" applyBorder="1" applyAlignment="1">
      <alignment vertical="center" wrapText="1"/>
    </xf>
    <xf numFmtId="164" fontId="20" fillId="0" borderId="25" xfId="0" applyNumberFormat="1" applyFont="1" applyFill="1" applyBorder="1" applyAlignment="1">
      <alignment vertical="center" wrapText="1"/>
    </xf>
    <xf numFmtId="164" fontId="15" fillId="0" borderId="20" xfId="4" applyNumberFormat="1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16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164" fontId="6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5" fillId="0" borderId="0" xfId="0" applyFont="1" applyFill="1"/>
    <xf numFmtId="164" fontId="25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165" fontId="25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0" fontId="25" fillId="0" borderId="0" xfId="0" applyFont="1" applyFill="1" applyBorder="1"/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164" fontId="24" fillId="0" borderId="8" xfId="3" applyNumberFormat="1" applyFont="1" applyFill="1" applyBorder="1" applyAlignment="1">
      <alignment vertical="center" wrapText="1"/>
    </xf>
    <xf numFmtId="164" fontId="3" fillId="0" borderId="8" xfId="2" applyNumberFormat="1" applyFont="1" applyFill="1" applyBorder="1" applyAlignment="1">
      <alignment vertical="center" wrapText="1"/>
    </xf>
    <xf numFmtId="164" fontId="11" fillId="0" borderId="8" xfId="3" applyNumberFormat="1" applyFont="1" applyFill="1" applyBorder="1" applyAlignment="1">
      <alignment vertical="center" wrapText="1"/>
    </xf>
    <xf numFmtId="0" fontId="11" fillId="0" borderId="8" xfId="3" applyFont="1" applyFill="1" applyBorder="1" applyAlignment="1">
      <alignment vertical="center" wrapText="1"/>
    </xf>
    <xf numFmtId="165" fontId="11" fillId="0" borderId="8" xfId="3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/>
    </xf>
    <xf numFmtId="165" fontId="6" fillId="0" borderId="17" xfId="4" applyNumberFormat="1" applyFont="1" applyFill="1" applyBorder="1" applyAlignment="1">
      <alignment vertical="center" wrapText="1"/>
    </xf>
    <xf numFmtId="170" fontId="5" fillId="0" borderId="18" xfId="0" applyNumberFormat="1" applyFont="1" applyFill="1" applyBorder="1" applyAlignment="1">
      <alignment horizontal="center" vertical="center"/>
    </xf>
    <xf numFmtId="165" fontId="6" fillId="0" borderId="20" xfId="4" applyNumberFormat="1" applyFont="1" applyFill="1" applyBorder="1" applyAlignment="1">
      <alignment vertical="center" wrapText="1"/>
    </xf>
    <xf numFmtId="170" fontId="5" fillId="0" borderId="2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21" fillId="0" borderId="8" xfId="0" applyNumberFormat="1" applyFont="1" applyFill="1" applyBorder="1" applyAlignment="1">
      <alignment vertical="center" wrapText="1"/>
    </xf>
    <xf numFmtId="2" fontId="6" fillId="0" borderId="14" xfId="0" applyNumberFormat="1" applyFont="1" applyFill="1" applyBorder="1" applyAlignment="1">
      <alignment horizontal="center" vertical="center"/>
    </xf>
    <xf numFmtId="170" fontId="6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23" fillId="0" borderId="2" xfId="4" applyFont="1" applyFill="1" applyBorder="1" applyAlignment="1">
      <alignment horizontal="center" vertical="center" wrapText="1"/>
    </xf>
    <xf numFmtId="170" fontId="6" fillId="0" borderId="2" xfId="0" applyNumberFormat="1" applyFont="1" applyFill="1" applyBorder="1" applyAlignment="1">
      <alignment horizontal="center" vertical="center"/>
    </xf>
    <xf numFmtId="170" fontId="5" fillId="0" borderId="22" xfId="0" applyNumberFormat="1" applyFont="1" applyFill="1" applyBorder="1" applyAlignment="1">
      <alignment horizontal="center" vertical="center"/>
    </xf>
    <xf numFmtId="172" fontId="15" fillId="0" borderId="8" xfId="4" applyNumberFormat="1" applyFont="1" applyFill="1" applyBorder="1" applyAlignment="1">
      <alignment vertical="center" wrapText="1"/>
    </xf>
    <xf numFmtId="165" fontId="6" fillId="0" borderId="32" xfId="0" applyNumberFormat="1" applyFont="1" applyFill="1" applyBorder="1" applyAlignment="1">
      <alignment vertical="center"/>
    </xf>
    <xf numFmtId="165" fontId="6" fillId="0" borderId="32" xfId="0" applyNumberFormat="1" applyFont="1" applyFill="1" applyBorder="1" applyAlignment="1">
      <alignment horizontal="center" vertical="center"/>
    </xf>
    <xf numFmtId="165" fontId="6" fillId="0" borderId="33" xfId="0" applyNumberFormat="1" applyFont="1" applyFill="1" applyBorder="1" applyAlignment="1">
      <alignment vertical="center"/>
    </xf>
    <xf numFmtId="165" fontId="11" fillId="0" borderId="8" xfId="2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65" fontId="23" fillId="0" borderId="17" xfId="0" applyNumberFormat="1" applyFont="1" applyBorder="1" applyAlignment="1">
      <alignment horizontal="left" wrapText="1"/>
    </xf>
    <xf numFmtId="165" fontId="23" fillId="0" borderId="17" xfId="0" applyNumberFormat="1" applyFont="1" applyBorder="1" applyAlignment="1">
      <alignment horizontal="left" vertical="center" wrapText="1"/>
    </xf>
    <xf numFmtId="165" fontId="23" fillId="0" borderId="20" xfId="0" applyNumberFormat="1" applyFont="1" applyBorder="1" applyAlignment="1">
      <alignment horizontal="left" wrapText="1"/>
    </xf>
    <xf numFmtId="165" fontId="23" fillId="0" borderId="35" xfId="0" applyNumberFormat="1" applyFont="1" applyBorder="1" applyAlignment="1">
      <alignment horizontal="left" wrapText="1"/>
    </xf>
    <xf numFmtId="165" fontId="23" fillId="0" borderId="36" xfId="0" applyNumberFormat="1" applyFont="1" applyBorder="1" applyAlignment="1">
      <alignment horizontal="left" wrapText="1"/>
    </xf>
    <xf numFmtId="0" fontId="20" fillId="0" borderId="2" xfId="0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vertical="center" wrapText="1"/>
    </xf>
    <xf numFmtId="173" fontId="6" fillId="0" borderId="2" xfId="0" applyNumberFormat="1" applyFont="1" applyFill="1" applyBorder="1" applyAlignment="1">
      <alignment vertical="center"/>
    </xf>
    <xf numFmtId="165" fontId="4" fillId="0" borderId="17" xfId="0" applyNumberFormat="1" applyFont="1" applyBorder="1" applyAlignment="1">
      <alignment horizontal="left" wrapText="1"/>
    </xf>
    <xf numFmtId="173" fontId="6" fillId="0" borderId="17" xfId="0" applyNumberFormat="1" applyFont="1" applyFill="1" applyBorder="1" applyAlignment="1">
      <alignment vertical="center" wrapText="1"/>
    </xf>
    <xf numFmtId="173" fontId="12" fillId="0" borderId="2" xfId="2" applyNumberFormat="1" applyFont="1" applyFill="1" applyBorder="1" applyAlignment="1">
      <alignment vertical="center" wrapText="1"/>
    </xf>
    <xf numFmtId="173" fontId="6" fillId="0" borderId="2" xfId="0" applyNumberFormat="1" applyFont="1" applyFill="1" applyBorder="1" applyAlignment="1">
      <alignment vertical="center" wrapText="1"/>
    </xf>
    <xf numFmtId="0" fontId="16" fillId="0" borderId="8" xfId="4" applyFont="1" applyFill="1" applyBorder="1" applyAlignment="1">
      <alignment vertical="center" wrapText="1"/>
    </xf>
    <xf numFmtId="173" fontId="6" fillId="0" borderId="25" xfId="0" applyNumberFormat="1" applyFont="1" applyFill="1" applyBorder="1" applyAlignment="1">
      <alignment vertical="center"/>
    </xf>
    <xf numFmtId="173" fontId="6" fillId="0" borderId="32" xfId="0" applyNumberFormat="1" applyFont="1" applyFill="1" applyBorder="1" applyAlignment="1">
      <alignment vertical="center"/>
    </xf>
    <xf numFmtId="173" fontId="6" fillId="0" borderId="17" xfId="0" applyNumberFormat="1" applyFont="1" applyFill="1" applyBorder="1" applyAlignment="1">
      <alignment horizontal="center" vertical="center"/>
    </xf>
    <xf numFmtId="173" fontId="6" fillId="0" borderId="2" xfId="0" applyNumberFormat="1" applyFont="1" applyFill="1" applyBorder="1" applyAlignment="1">
      <alignment horizontal="center" vertical="center"/>
    </xf>
    <xf numFmtId="173" fontId="6" fillId="0" borderId="17" xfId="0" applyNumberFormat="1" applyFont="1" applyFill="1" applyBorder="1" applyAlignment="1">
      <alignment horizontal="center" vertical="center" wrapText="1"/>
    </xf>
    <xf numFmtId="173" fontId="6" fillId="0" borderId="8" xfId="0" applyNumberFormat="1" applyFont="1" applyFill="1" applyBorder="1" applyAlignment="1">
      <alignment horizontal="center" vertical="center"/>
    </xf>
    <xf numFmtId="173" fontId="6" fillId="0" borderId="20" xfId="0" applyNumberFormat="1" applyFont="1" applyFill="1" applyBorder="1" applyAlignment="1">
      <alignment horizontal="center" vertical="center"/>
    </xf>
    <xf numFmtId="175" fontId="6" fillId="0" borderId="17" xfId="0" applyNumberFormat="1" applyFont="1" applyFill="1" applyBorder="1" applyAlignment="1">
      <alignment vertical="center"/>
    </xf>
    <xf numFmtId="173" fontId="6" fillId="0" borderId="25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3" fontId="2" fillId="0" borderId="20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3" fontId="6" fillId="0" borderId="25" xfId="0" applyNumberFormat="1" applyFont="1" applyFill="1" applyBorder="1" applyAlignment="1">
      <alignment horizontal="center" vertical="center"/>
    </xf>
    <xf numFmtId="178" fontId="6" fillId="0" borderId="18" xfId="0" applyNumberFormat="1" applyFont="1" applyFill="1" applyBorder="1" applyAlignment="1">
      <alignment horizontal="center" vertical="center"/>
    </xf>
    <xf numFmtId="165" fontId="4" fillId="0" borderId="25" xfId="0" applyNumberFormat="1" applyFont="1" applyBorder="1" applyAlignment="1">
      <alignment horizontal="left" wrapText="1"/>
    </xf>
    <xf numFmtId="165" fontId="4" fillId="0" borderId="20" xfId="0" applyNumberFormat="1" applyFont="1" applyBorder="1" applyAlignment="1">
      <alignment horizontal="left" wrapText="1"/>
    </xf>
    <xf numFmtId="0" fontId="16" fillId="2" borderId="17" xfId="0" applyFont="1" applyFill="1" applyBorder="1" applyAlignment="1">
      <alignment vertical="center" wrapText="1"/>
    </xf>
    <xf numFmtId="172" fontId="5" fillId="0" borderId="17" xfId="4" applyNumberFormat="1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64" fontId="5" fillId="0" borderId="17" xfId="4" applyNumberFormat="1" applyFont="1" applyFill="1" applyBorder="1" applyAlignment="1">
      <alignment vertical="center" wrapText="1"/>
    </xf>
    <xf numFmtId="164" fontId="5" fillId="0" borderId="8" xfId="4" applyNumberFormat="1" applyFont="1" applyFill="1" applyBorder="1" applyAlignment="1">
      <alignment vertical="center" wrapText="1"/>
    </xf>
    <xf numFmtId="164" fontId="5" fillId="0" borderId="20" xfId="4" applyNumberFormat="1" applyFont="1" applyFill="1" applyBorder="1" applyAlignment="1">
      <alignment vertical="center" wrapText="1"/>
    </xf>
    <xf numFmtId="164" fontId="6" fillId="0" borderId="25" xfId="0" applyNumberFormat="1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5" fontId="4" fillId="0" borderId="17" xfId="0" applyNumberFormat="1" applyFont="1" applyBorder="1" applyAlignment="1">
      <alignment horizontal="left" vertical="center" wrapText="1"/>
    </xf>
    <xf numFmtId="165" fontId="4" fillId="0" borderId="36" xfId="0" applyNumberFormat="1" applyFont="1" applyBorder="1" applyAlignment="1">
      <alignment horizontal="left" wrapText="1"/>
    </xf>
    <xf numFmtId="173" fontId="2" fillId="0" borderId="2" xfId="0" applyNumberFormat="1" applyFont="1" applyFill="1" applyBorder="1" applyAlignment="1">
      <alignment vertical="center"/>
    </xf>
    <xf numFmtId="173" fontId="2" fillId="0" borderId="32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73" fontId="2" fillId="0" borderId="17" xfId="0" applyNumberFormat="1" applyFont="1" applyFill="1" applyBorder="1" applyAlignment="1">
      <alignment vertical="center"/>
    </xf>
    <xf numFmtId="173" fontId="30" fillId="0" borderId="2" xfId="2" applyNumberFormat="1" applyFont="1" applyFill="1" applyBorder="1" applyAlignment="1">
      <alignment vertical="center" wrapText="1"/>
    </xf>
    <xf numFmtId="173" fontId="2" fillId="0" borderId="2" xfId="0" applyNumberFormat="1" applyFont="1" applyFill="1" applyBorder="1" applyAlignment="1">
      <alignment vertical="center" wrapText="1"/>
    </xf>
    <xf numFmtId="173" fontId="2" fillId="0" borderId="17" xfId="0" applyNumberFormat="1" applyFont="1" applyFill="1" applyBorder="1" applyAlignment="1">
      <alignment vertical="center" wrapText="1"/>
    </xf>
    <xf numFmtId="173" fontId="2" fillId="0" borderId="8" xfId="0" applyNumberFormat="1" applyFont="1" applyFill="1" applyBorder="1" applyAlignment="1">
      <alignment vertical="center"/>
    </xf>
    <xf numFmtId="173" fontId="2" fillId="0" borderId="25" xfId="0" applyNumberFormat="1" applyFont="1" applyFill="1" applyBorder="1" applyAlignment="1">
      <alignment vertical="center"/>
    </xf>
    <xf numFmtId="173" fontId="2" fillId="0" borderId="20" xfId="4" applyNumberFormat="1" applyFont="1" applyFill="1" applyBorder="1" applyAlignment="1">
      <alignment vertical="center" wrapText="1"/>
    </xf>
    <xf numFmtId="173" fontId="32" fillId="0" borderId="17" xfId="0" applyNumberFormat="1" applyFont="1" applyFill="1" applyBorder="1" applyAlignment="1">
      <alignment vertical="center" wrapText="1"/>
    </xf>
    <xf numFmtId="169" fontId="2" fillId="0" borderId="2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3" fontId="2" fillId="0" borderId="25" xfId="0" applyNumberFormat="1" applyFont="1" applyFill="1" applyBorder="1" applyAlignment="1">
      <alignment vertical="center" wrapText="1"/>
    </xf>
    <xf numFmtId="169" fontId="2" fillId="0" borderId="17" xfId="0" applyNumberFormat="1" applyFont="1" applyFill="1" applyBorder="1" applyAlignment="1">
      <alignment vertical="center"/>
    </xf>
    <xf numFmtId="179" fontId="5" fillId="0" borderId="20" xfId="0" applyNumberFormat="1" applyFont="1" applyFill="1" applyBorder="1" applyAlignment="1">
      <alignment horizontal="center" vertical="center"/>
    </xf>
    <xf numFmtId="164" fontId="3" fillId="0" borderId="8" xfId="2" applyNumberFormat="1" applyFont="1" applyFill="1" applyBorder="1" applyAlignment="1">
      <alignment horizontal="center"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164" fontId="24" fillId="0" borderId="8" xfId="3" applyNumberFormat="1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65" fontId="2" fillId="0" borderId="32" xfId="0" applyNumberFormat="1" applyFont="1" applyFill="1" applyBorder="1" applyAlignment="1">
      <alignment vertical="center"/>
    </xf>
    <xf numFmtId="165" fontId="2" fillId="0" borderId="20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1" fillId="0" borderId="19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vertical="center" wrapText="1"/>
    </xf>
    <xf numFmtId="173" fontId="2" fillId="0" borderId="20" xfId="0" applyNumberFormat="1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2" fillId="0" borderId="15" xfId="0" applyFont="1" applyFill="1" applyBorder="1" applyAlignment="1">
      <alignment horizontal="center" vertical="center" textRotation="90"/>
    </xf>
    <xf numFmtId="0" fontId="20" fillId="0" borderId="2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1" fillId="0" borderId="47" xfId="4" applyFont="1" applyFill="1" applyBorder="1" applyAlignment="1">
      <alignment vertical="center" wrapText="1"/>
    </xf>
    <xf numFmtId="0" fontId="11" fillId="0" borderId="48" xfId="4" applyFont="1" applyFill="1" applyBorder="1" applyAlignment="1">
      <alignment vertical="center" wrapText="1"/>
    </xf>
    <xf numFmtId="0" fontId="11" fillId="0" borderId="23" xfId="4" applyFont="1" applyFill="1" applyBorder="1" applyAlignment="1">
      <alignment vertical="center" wrapText="1"/>
    </xf>
    <xf numFmtId="0" fontId="11" fillId="0" borderId="49" xfId="4" applyFont="1" applyFill="1" applyBorder="1" applyAlignment="1">
      <alignment vertical="center" wrapText="1"/>
    </xf>
    <xf numFmtId="173" fontId="6" fillId="0" borderId="20" xfId="0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textRotation="90" wrapText="1"/>
    </xf>
    <xf numFmtId="169" fontId="2" fillId="0" borderId="25" xfId="0" applyNumberFormat="1" applyFont="1" applyFill="1" applyBorder="1" applyAlignment="1">
      <alignment vertical="center"/>
    </xf>
    <xf numFmtId="0" fontId="21" fillId="0" borderId="24" xfId="0" applyFont="1" applyBorder="1" applyAlignment="1">
      <alignment vertical="center" wrapText="1"/>
    </xf>
    <xf numFmtId="164" fontId="6" fillId="0" borderId="49" xfId="0" applyNumberFormat="1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/>
    <xf numFmtId="0" fontId="21" fillId="0" borderId="15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165" fontId="4" fillId="2" borderId="17" xfId="0" applyNumberFormat="1" applyFont="1" applyFill="1" applyBorder="1" applyAlignment="1">
      <alignment horizontal="left" wrapText="1"/>
    </xf>
    <xf numFmtId="164" fontId="2" fillId="0" borderId="17" xfId="0" applyNumberFormat="1" applyFont="1" applyFill="1" applyBorder="1" applyAlignment="1">
      <alignment vertical="center"/>
    </xf>
    <xf numFmtId="165" fontId="4" fillId="2" borderId="25" xfId="0" applyNumberFormat="1" applyFont="1" applyFill="1" applyBorder="1" applyAlignment="1">
      <alignment horizontal="left" wrapText="1"/>
    </xf>
    <xf numFmtId="180" fontId="6" fillId="0" borderId="17" xfId="0" applyNumberFormat="1" applyFont="1" applyFill="1" applyBorder="1" applyAlignment="1">
      <alignment vertical="center"/>
    </xf>
    <xf numFmtId="172" fontId="6" fillId="0" borderId="17" xfId="0" applyNumberFormat="1" applyFont="1" applyFill="1" applyBorder="1" applyAlignment="1">
      <alignment vertical="center"/>
    </xf>
    <xf numFmtId="172" fontId="6" fillId="0" borderId="17" xfId="4" applyNumberFormat="1" applyFont="1" applyFill="1" applyBorder="1" applyAlignment="1">
      <alignment vertical="center" wrapText="1"/>
    </xf>
    <xf numFmtId="0" fontId="16" fillId="2" borderId="8" xfId="4" applyFont="1" applyFill="1" applyBorder="1" applyAlignment="1">
      <alignment vertical="center" wrapText="1"/>
    </xf>
    <xf numFmtId="0" fontId="6" fillId="0" borderId="17" xfId="4" applyFont="1" applyFill="1" applyBorder="1" applyAlignment="1">
      <alignment horizontal="center" vertical="center" wrapText="1"/>
    </xf>
    <xf numFmtId="164" fontId="6" fillId="0" borderId="17" xfId="4" applyNumberFormat="1" applyFont="1" applyFill="1" applyBorder="1" applyAlignment="1">
      <alignment vertical="center" wrapText="1"/>
    </xf>
    <xf numFmtId="164" fontId="6" fillId="0" borderId="20" xfId="4" applyNumberFormat="1" applyFont="1" applyFill="1" applyBorder="1" applyAlignment="1">
      <alignment vertical="center" wrapText="1"/>
    </xf>
    <xf numFmtId="164" fontId="6" fillId="0" borderId="8" xfId="4" applyNumberFormat="1" applyFont="1" applyFill="1" applyBorder="1" applyAlignment="1">
      <alignment vertical="center" wrapText="1"/>
    </xf>
    <xf numFmtId="0" fontId="7" fillId="0" borderId="17" xfId="0" quotePrefix="1" applyFont="1" applyFill="1" applyBorder="1" applyAlignment="1">
      <alignment vertical="center" wrapText="1"/>
    </xf>
    <xf numFmtId="0" fontId="16" fillId="0" borderId="27" xfId="0" applyFont="1" applyBorder="1" applyAlignment="1">
      <alignment horizontal="left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center" vertical="center" wrapText="1"/>
    </xf>
    <xf numFmtId="166" fontId="6" fillId="0" borderId="21" xfId="0" applyNumberFormat="1" applyFont="1" applyFill="1" applyBorder="1" applyAlignment="1">
      <alignment vertical="center"/>
    </xf>
    <xf numFmtId="164" fontId="5" fillId="0" borderId="25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169" fontId="6" fillId="0" borderId="25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 wrapText="1"/>
    </xf>
    <xf numFmtId="165" fontId="6" fillId="0" borderId="33" xfId="0" applyNumberFormat="1" applyFont="1" applyFill="1" applyBorder="1" applyAlignment="1">
      <alignment vertical="center" wrapText="1"/>
    </xf>
    <xf numFmtId="164" fontId="5" fillId="0" borderId="27" xfId="0" applyNumberFormat="1" applyFont="1" applyFill="1" applyBorder="1" applyAlignment="1">
      <alignment vertical="center"/>
    </xf>
    <xf numFmtId="173" fontId="2" fillId="0" borderId="32" xfId="0" applyNumberFormat="1" applyFont="1" applyFill="1" applyBorder="1" applyAlignment="1">
      <alignment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173" fontId="2" fillId="0" borderId="40" xfId="0" applyNumberFormat="1" applyFont="1" applyFill="1" applyBorder="1" applyAlignment="1">
      <alignment vertical="center"/>
    </xf>
    <xf numFmtId="173" fontId="2" fillId="0" borderId="36" xfId="0" applyNumberFormat="1" applyFont="1" applyFill="1" applyBorder="1" applyAlignment="1">
      <alignment vertical="center"/>
    </xf>
    <xf numFmtId="165" fontId="2" fillId="0" borderId="36" xfId="0" applyNumberFormat="1" applyFont="1" applyFill="1" applyBorder="1" applyAlignment="1">
      <alignment vertical="center"/>
    </xf>
    <xf numFmtId="0" fontId="2" fillId="0" borderId="42" xfId="4" applyFont="1" applyFill="1" applyBorder="1" applyAlignment="1">
      <alignment horizontal="center" vertical="center" wrapText="1"/>
    </xf>
    <xf numFmtId="0" fontId="2" fillId="0" borderId="38" xfId="4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4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39" fillId="0" borderId="35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173" fontId="6" fillId="0" borderId="0" xfId="0" applyNumberFormat="1" applyFont="1" applyFill="1" applyAlignment="1">
      <alignment horizontal="center" vertical="center"/>
    </xf>
    <xf numFmtId="165" fontId="40" fillId="0" borderId="0" xfId="0" applyNumberFormat="1" applyFont="1" applyFill="1" applyBorder="1"/>
    <xf numFmtId="165" fontId="5" fillId="0" borderId="17" xfId="4" applyNumberFormat="1" applyFont="1" applyBorder="1" applyAlignment="1">
      <alignment horizontal="center" vertical="center" wrapText="1"/>
    </xf>
    <xf numFmtId="165" fontId="5" fillId="0" borderId="20" xfId="4" applyNumberFormat="1" applyFont="1" applyBorder="1" applyAlignment="1">
      <alignment horizontal="center" vertical="center" wrapText="1"/>
    </xf>
    <xf numFmtId="0" fontId="41" fillId="0" borderId="0" xfId="0" applyFont="1" applyFill="1" applyBorder="1"/>
    <xf numFmtId="0" fontId="15" fillId="0" borderId="0" xfId="0" applyFont="1" applyFill="1" applyBorder="1"/>
    <xf numFmtId="0" fontId="42" fillId="2" borderId="0" xfId="0" applyFont="1" applyFill="1" applyBorder="1"/>
    <xf numFmtId="0" fontId="15" fillId="0" borderId="25" xfId="4" applyFont="1" applyBorder="1" applyAlignment="1">
      <alignment horizontal="center" vertical="center" wrapText="1"/>
    </xf>
    <xf numFmtId="165" fontId="5" fillId="0" borderId="25" xfId="0" applyNumberFormat="1" applyFont="1" applyFill="1" applyBorder="1" applyAlignment="1">
      <alignment vertical="center"/>
    </xf>
    <xf numFmtId="165" fontId="6" fillId="0" borderId="32" xfId="0" applyNumberFormat="1" applyFont="1" applyFill="1" applyBorder="1" applyAlignment="1">
      <alignment horizontal="center"/>
    </xf>
    <xf numFmtId="166" fontId="5" fillId="0" borderId="18" xfId="0" applyNumberFormat="1" applyFont="1" applyFill="1" applyBorder="1" applyAlignment="1">
      <alignment vertical="center"/>
    </xf>
    <xf numFmtId="165" fontId="5" fillId="0" borderId="25" xfId="0" applyNumberFormat="1" applyFont="1" applyFill="1" applyBorder="1" applyAlignment="1">
      <alignment horizontal="center" vertical="center"/>
    </xf>
    <xf numFmtId="0" fontId="43" fillId="0" borderId="0" xfId="0" applyFont="1" applyFill="1" applyBorder="1"/>
    <xf numFmtId="0" fontId="16" fillId="0" borderId="17" xfId="0" applyFont="1" applyBorder="1" applyAlignment="1">
      <alignment vertical="center" wrapText="1"/>
    </xf>
    <xf numFmtId="165" fontId="20" fillId="0" borderId="2" xfId="0" applyNumberFormat="1" applyFont="1" applyFill="1" applyBorder="1" applyAlignment="1">
      <alignment horizontal="right" vertical="center" wrapText="1"/>
    </xf>
    <xf numFmtId="165" fontId="6" fillId="0" borderId="2" xfId="2" applyNumberFormat="1" applyFont="1" applyFill="1" applyBorder="1" applyAlignment="1">
      <alignment horizontal="right" vertical="center" wrapText="1"/>
    </xf>
    <xf numFmtId="0" fontId="44" fillId="0" borderId="0" xfId="0" applyFont="1" applyFill="1" applyBorder="1"/>
    <xf numFmtId="164" fontId="5" fillId="0" borderId="38" xfId="0" applyNumberFormat="1" applyFont="1" applyFill="1" applyBorder="1" applyAlignment="1">
      <alignment vertical="center"/>
    </xf>
    <xf numFmtId="166" fontId="5" fillId="0" borderId="26" xfId="0" applyNumberFormat="1" applyFont="1" applyFill="1" applyBorder="1" applyAlignment="1">
      <alignment vertical="center"/>
    </xf>
    <xf numFmtId="0" fontId="16" fillId="0" borderId="42" xfId="0" applyFont="1" applyBorder="1" applyAlignment="1">
      <alignment horizontal="left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right" vertical="center"/>
    </xf>
    <xf numFmtId="0" fontId="4" fillId="0" borderId="15" xfId="0" applyFont="1" applyFill="1" applyBorder="1"/>
    <xf numFmtId="0" fontId="6" fillId="0" borderId="30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textRotation="90"/>
    </xf>
    <xf numFmtId="0" fontId="12" fillId="0" borderId="13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1" fillId="0" borderId="39" xfId="4" applyFont="1" applyFill="1" applyBorder="1" applyAlignment="1">
      <alignment vertical="center" wrapText="1"/>
    </xf>
    <xf numFmtId="0" fontId="11" fillId="0" borderId="37" xfId="4" applyFont="1" applyFill="1" applyBorder="1" applyAlignment="1">
      <alignment vertical="center" wrapText="1"/>
    </xf>
    <xf numFmtId="0" fontId="11" fillId="0" borderId="38" xfId="4" applyFont="1" applyFill="1" applyBorder="1" applyAlignment="1">
      <alignment vertical="center" wrapText="1"/>
    </xf>
    <xf numFmtId="0" fontId="11" fillId="0" borderId="36" xfId="4" applyFont="1" applyFill="1" applyBorder="1" applyAlignment="1">
      <alignment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</xf>
    <xf numFmtId="165" fontId="11" fillId="0" borderId="44" xfId="2" applyNumberFormat="1" applyFont="1" applyFill="1" applyBorder="1" applyAlignment="1">
      <alignment horizontal="center" vertical="center" wrapText="1"/>
    </xf>
    <xf numFmtId="165" fontId="11" fillId="0" borderId="45" xfId="2" applyNumberFormat="1" applyFont="1" applyFill="1" applyBorder="1" applyAlignment="1">
      <alignment horizontal="center" vertical="center" wrapText="1"/>
    </xf>
    <xf numFmtId="165" fontId="11" fillId="0" borderId="44" xfId="0" applyNumberFormat="1" applyFont="1" applyFill="1" applyBorder="1" applyAlignment="1">
      <alignment horizontal="center" vertical="center" wrapText="1"/>
    </xf>
    <xf numFmtId="165" fontId="11" fillId="0" borderId="45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vertical="center" wrapText="1"/>
    </xf>
    <xf numFmtId="0" fontId="11" fillId="0" borderId="5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textRotation="90" wrapText="1"/>
    </xf>
    <xf numFmtId="0" fontId="27" fillId="0" borderId="50" xfId="2" applyFont="1" applyBorder="1" applyAlignment="1">
      <alignment horizontal="center" vertical="center" textRotation="90" wrapText="1"/>
    </xf>
    <xf numFmtId="0" fontId="11" fillId="0" borderId="28" xfId="2" applyFont="1" applyFill="1" applyBorder="1" applyAlignment="1">
      <alignment horizontal="center" vertical="center" textRotation="90" wrapText="1"/>
    </xf>
    <xf numFmtId="0" fontId="11" fillId="0" borderId="10" xfId="2" applyFont="1" applyFill="1" applyBorder="1" applyAlignment="1">
      <alignment horizontal="center" vertical="center" textRotation="90" wrapText="1"/>
    </xf>
    <xf numFmtId="0" fontId="2" fillId="0" borderId="12" xfId="2" applyFont="1" applyFill="1" applyBorder="1" applyAlignment="1">
      <alignment horizontal="center" vertical="center" textRotation="90" wrapText="1"/>
    </xf>
    <xf numFmtId="0" fontId="2" fillId="0" borderId="15" xfId="2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/>
    </xf>
    <xf numFmtId="0" fontId="6" fillId="0" borderId="39" xfId="4" applyFont="1" applyFill="1" applyBorder="1" applyAlignment="1">
      <alignment horizontal="left" vertical="center" wrapText="1"/>
    </xf>
    <xf numFmtId="0" fontId="6" fillId="0" borderId="37" xfId="4" applyFont="1" applyFill="1" applyBorder="1" applyAlignment="1">
      <alignment horizontal="left" vertical="center" wrapText="1"/>
    </xf>
    <xf numFmtId="0" fontId="6" fillId="0" borderId="38" xfId="4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right" vertical="center"/>
    </xf>
    <xf numFmtId="164" fontId="6" fillId="0" borderId="34" xfId="0" applyNumberFormat="1" applyFont="1" applyFill="1" applyBorder="1" applyAlignment="1">
      <alignment horizontal="right" vertical="center"/>
    </xf>
    <xf numFmtId="164" fontId="6" fillId="0" borderId="30" xfId="0" applyNumberFormat="1" applyFont="1" applyFill="1" applyBorder="1" applyAlignment="1">
      <alignment horizontal="right" vertical="center"/>
    </xf>
    <xf numFmtId="164" fontId="6" fillId="0" borderId="31" xfId="0" applyNumberFormat="1" applyFont="1" applyFill="1" applyBorder="1" applyAlignment="1">
      <alignment horizontal="right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textRotation="90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2" fillId="0" borderId="29" xfId="2" applyFont="1" applyFill="1" applyBorder="1" applyAlignment="1">
      <alignment horizontal="center" vertical="center" wrapText="1"/>
    </xf>
    <xf numFmtId="0" fontId="12" fillId="0" borderId="30" xfId="2" applyFont="1" applyFill="1" applyBorder="1" applyAlignment="1">
      <alignment horizontal="center" vertical="center" wrapText="1"/>
    </xf>
    <xf numFmtId="0" fontId="12" fillId="0" borderId="52" xfId="2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7" fontId="6" fillId="0" borderId="3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7" fontId="6" fillId="0" borderId="3" xfId="0" applyNumberFormat="1" applyFont="1" applyFill="1" applyBorder="1" applyAlignment="1">
      <alignment horizontal="center" vertical="center" wrapText="1"/>
    </xf>
    <xf numFmtId="167" fontId="6" fillId="0" borderId="4" xfId="0" applyNumberFormat="1" applyFont="1" applyFill="1" applyBorder="1" applyAlignment="1">
      <alignment horizontal="center" vertical="center" wrapText="1"/>
    </xf>
    <xf numFmtId="167" fontId="6" fillId="0" borderId="5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8" xfId="2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2" fillId="0" borderId="28" xfId="2" applyFont="1" applyFill="1" applyBorder="1" applyAlignment="1">
      <alignment horizontal="center" vertical="center" textRotation="90" wrapText="1"/>
    </xf>
    <xf numFmtId="0" fontId="2" fillId="0" borderId="10" xfId="2" applyFont="1" applyFill="1" applyBorder="1" applyAlignment="1">
      <alignment horizontal="center" vertical="center" textRotation="90" wrapText="1"/>
    </xf>
    <xf numFmtId="0" fontId="2" fillId="0" borderId="24" xfId="2" applyFont="1" applyFill="1" applyBorder="1" applyAlignment="1">
      <alignment horizontal="center" vertical="center" textRotation="90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2" xfId="4" applyFont="1" applyFill="1" applyBorder="1" applyAlignment="1">
      <alignment horizontal="left" vertical="center" wrapText="1"/>
    </xf>
    <xf numFmtId="167" fontId="11" fillId="0" borderId="2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left" vertical="center" wrapText="1"/>
    </xf>
    <xf numFmtId="0" fontId="13" fillId="0" borderId="17" xfId="4" applyFont="1" applyFill="1" applyBorder="1" applyAlignment="1">
      <alignment horizontal="left" vertical="center" wrapText="1"/>
    </xf>
    <xf numFmtId="0" fontId="13" fillId="0" borderId="16" xfId="4" applyFont="1" applyFill="1" applyBorder="1" applyAlignment="1">
      <alignment vertical="center" wrapText="1"/>
    </xf>
    <xf numFmtId="0" fontId="13" fillId="0" borderId="17" xfId="4" applyFont="1" applyFill="1" applyBorder="1" applyAlignment="1">
      <alignment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 wrapText="1"/>
    </xf>
    <xf numFmtId="0" fontId="13" fillId="0" borderId="2" xfId="4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vertical="center" wrapText="1"/>
    </xf>
    <xf numFmtId="165" fontId="11" fillId="0" borderId="2" xfId="2" applyNumberFormat="1" applyFont="1" applyFill="1" applyBorder="1" applyAlignment="1">
      <alignment vertical="center" wrapText="1"/>
    </xf>
    <xf numFmtId="165" fontId="11" fillId="0" borderId="8" xfId="2" applyNumberFormat="1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vertical="center" wrapText="1"/>
    </xf>
    <xf numFmtId="165" fontId="11" fillId="0" borderId="8" xfId="0" applyNumberFormat="1" applyFont="1" applyFill="1" applyBorder="1" applyAlignment="1">
      <alignment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0" fontId="11" fillId="0" borderId="5" xfId="3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2" borderId="20" xfId="4" applyFont="1" applyFill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top" textRotation="90" wrapText="1"/>
    </xf>
    <xf numFmtId="0" fontId="0" fillId="0" borderId="15" xfId="0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wrapText="1"/>
    </xf>
    <xf numFmtId="0" fontId="15" fillId="0" borderId="40" xfId="4" applyFont="1" applyBorder="1" applyAlignment="1">
      <alignment horizontal="center" vertical="center" wrapText="1"/>
    </xf>
    <xf numFmtId="0" fontId="15" fillId="0" borderId="35" xfId="4" applyFont="1" applyBorder="1" applyAlignment="1">
      <alignment horizontal="center" vertical="center" wrapText="1"/>
    </xf>
    <xf numFmtId="0" fontId="15" fillId="0" borderId="17" xfId="4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6" fillId="0" borderId="37" xfId="0" applyFont="1" applyBorder="1" applyAlignment="1">
      <alignment vertical="center" wrapText="1"/>
    </xf>
    <xf numFmtId="0" fontId="15" fillId="0" borderId="53" xfId="0" applyFont="1" applyBorder="1" applyAlignment="1">
      <alignment horizontal="center" vertical="center" wrapText="1"/>
    </xf>
    <xf numFmtId="2" fontId="15" fillId="0" borderId="42" xfId="4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4" fontId="15" fillId="0" borderId="25" xfId="4" applyNumberFormat="1" applyFont="1" applyBorder="1" applyAlignment="1">
      <alignment horizontal="center" vertical="center" wrapText="1"/>
    </xf>
    <xf numFmtId="4" fontId="15" fillId="0" borderId="17" xfId="4" applyNumberFormat="1" applyFont="1" applyBorder="1" applyAlignment="1">
      <alignment horizontal="center" vertical="center" wrapText="1"/>
    </xf>
    <xf numFmtId="4" fontId="15" fillId="2" borderId="25" xfId="4" applyNumberFormat="1" applyFont="1" applyFill="1" applyBorder="1" applyAlignment="1">
      <alignment horizontal="center" vertical="center" wrapText="1"/>
    </xf>
    <xf numFmtId="4" fontId="15" fillId="2" borderId="8" xfId="4" applyNumberFormat="1" applyFont="1" applyFill="1" applyBorder="1" applyAlignment="1">
      <alignment horizontal="center" vertical="center" wrapText="1"/>
    </xf>
    <xf numFmtId="165" fontId="5" fillId="0" borderId="25" xfId="4" applyNumberFormat="1" applyFont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2" fontId="15" fillId="0" borderId="5" xfId="4" applyNumberFormat="1" applyFont="1" applyBorder="1" applyAlignment="1">
      <alignment horizontal="center" vertical="center" wrapText="1"/>
    </xf>
    <xf numFmtId="2" fontId="15" fillId="0" borderId="17" xfId="4" applyNumberFormat="1" applyFont="1" applyBorder="1" applyAlignment="1">
      <alignment horizontal="center" vertical="center" wrapText="1"/>
    </xf>
    <xf numFmtId="4" fontId="15" fillId="2" borderId="17" xfId="4" applyNumberFormat="1" applyFont="1" applyFill="1" applyBorder="1" applyAlignment="1">
      <alignment horizontal="center" vertical="center" wrapText="1"/>
    </xf>
    <xf numFmtId="4" fontId="15" fillId="2" borderId="45" xfId="4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65" fontId="6" fillId="0" borderId="45" xfId="0" applyNumberFormat="1" applyFont="1" applyFill="1" applyBorder="1" applyAlignment="1">
      <alignment horizontal="center"/>
    </xf>
    <xf numFmtId="165" fontId="5" fillId="0" borderId="3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6" fontId="5" fillId="0" borderId="18" xfId="0" applyNumberFormat="1" applyFont="1" applyFill="1" applyBorder="1" applyAlignment="1">
      <alignment horizontal="center" vertical="center"/>
    </xf>
    <xf numFmtId="0" fontId="3" fillId="0" borderId="56" xfId="2" applyFont="1" applyBorder="1" applyAlignment="1">
      <alignment horizontal="center" vertical="center" textRotation="90" wrapText="1"/>
    </xf>
    <xf numFmtId="0" fontId="3" fillId="0" borderId="57" xfId="2" applyFont="1" applyBorder="1" applyAlignment="1">
      <alignment horizontal="center" vertical="center" textRotation="90" wrapText="1"/>
    </xf>
    <xf numFmtId="4" fontId="15" fillId="0" borderId="40" xfId="4" applyNumberFormat="1" applyFont="1" applyBorder="1" applyAlignment="1">
      <alignment horizontal="center" vertical="center" wrapText="1"/>
    </xf>
    <xf numFmtId="0" fontId="15" fillId="0" borderId="42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6" fillId="0" borderId="25" xfId="0" applyFont="1" applyFill="1" applyBorder="1" applyAlignment="1">
      <alignment vertical="center" wrapText="1"/>
    </xf>
    <xf numFmtId="0" fontId="5" fillId="0" borderId="42" xfId="4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2" fontId="19" fillId="0" borderId="17" xfId="0" applyNumberFormat="1" applyFont="1" applyBorder="1" applyAlignment="1">
      <alignment horizontal="center" vertical="center" wrapText="1"/>
    </xf>
    <xf numFmtId="4" fontId="15" fillId="0" borderId="17" xfId="4" applyNumberFormat="1" applyFont="1" applyBorder="1" applyAlignment="1">
      <alignment horizontal="right" vertical="center" wrapText="1"/>
    </xf>
    <xf numFmtId="4" fontId="12" fillId="0" borderId="17" xfId="4" applyNumberFormat="1" applyFont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55" xfId="2" applyFont="1" applyBorder="1" applyAlignment="1">
      <alignment horizontal="center" vertical="center" textRotation="90" wrapText="1"/>
    </xf>
    <xf numFmtId="0" fontId="46" fillId="0" borderId="15" xfId="0" applyFont="1" applyBorder="1" applyAlignment="1">
      <alignment horizontal="center" vertical="center" textRotation="90"/>
    </xf>
    <xf numFmtId="0" fontId="46" fillId="0" borderId="56" xfId="0" applyFont="1" applyBorder="1" applyAlignment="1">
      <alignment horizontal="center" vertical="center" textRotation="90"/>
    </xf>
    <xf numFmtId="0" fontId="5" fillId="0" borderId="55" xfId="2" applyFont="1" applyBorder="1" applyAlignment="1">
      <alignment horizontal="center" vertical="top" textRotation="90" wrapText="1"/>
    </xf>
    <xf numFmtId="0" fontId="46" fillId="0" borderId="15" xfId="0" applyFont="1" applyBorder="1" applyAlignment="1">
      <alignment horizontal="center" vertical="top" textRotation="90" wrapText="1"/>
    </xf>
    <xf numFmtId="0" fontId="46" fillId="0" borderId="56" xfId="0" applyFont="1" applyBorder="1" applyAlignment="1">
      <alignment horizontal="center" vertical="top" textRotation="90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46" fillId="0" borderId="15" xfId="0" applyFont="1" applyBorder="1" applyAlignment="1">
      <alignment horizontal="center" vertical="center" textRotation="90" wrapText="1"/>
    </xf>
    <xf numFmtId="0" fontId="46" fillId="0" borderId="56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0" fillId="0" borderId="24" xfId="0" applyBorder="1" applyAlignment="1">
      <alignment vertical="center" textRotation="90" wrapText="1"/>
    </xf>
    <xf numFmtId="0" fontId="5" fillId="0" borderId="41" xfId="0" applyFont="1" applyFill="1" applyBorder="1" applyAlignment="1">
      <alignment horizontal="center" vertical="center" textRotation="90" wrapText="1"/>
    </xf>
    <xf numFmtId="0" fontId="4" fillId="0" borderId="60" xfId="2" applyFont="1" applyBorder="1" applyAlignment="1">
      <alignment vertical="center" textRotation="90" wrapText="1"/>
    </xf>
  </cellXfs>
  <cellStyles count="5">
    <cellStyle name="Обычный" xfId="0" builtinId="0"/>
    <cellStyle name="Обычный_Додаток до довідки !!!" xfId="4" xr:uid="{00000000-0005-0000-0000-000001000000}"/>
    <cellStyle name="Обычный_Лист1 2" xfId="3" xr:uid="{00000000-0005-0000-0000-000002000000}"/>
    <cellStyle name="Обычный_Спецфонд" xfId="2" xr:uid="{00000000-0005-0000-0000-000003000000}"/>
    <cellStyle name="Финансовый" xfId="1" builtinId="3"/>
  </cellStyles>
  <dxfs count="0"/>
  <tableStyles count="0" defaultTableStyle="TableStyleMedium2" defaultPivotStyle="PivotStyleLight16"/>
  <colors>
    <mruColors>
      <color rgb="FFFF3300"/>
      <color rgb="FFFF66FF"/>
      <color rgb="FFCC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9"/>
  <sheetViews>
    <sheetView topLeftCell="A202" zoomScale="80" zoomScaleNormal="80" zoomScaleSheetLayoutView="110" workbookViewId="0">
      <selection activeCell="M12" sqref="M12"/>
    </sheetView>
  </sheetViews>
  <sheetFormatPr defaultColWidth="9.33203125" defaultRowHeight="15.6" x14ac:dyDescent="0.25"/>
  <cols>
    <col min="1" max="1" width="9.77734375" style="50" customWidth="1"/>
    <col min="2" max="2" width="8.109375" style="115" customWidth="1"/>
    <col min="3" max="3" width="11.77734375" style="51" customWidth="1"/>
    <col min="4" max="4" width="43.109375" style="2" customWidth="1"/>
    <col min="5" max="5" width="9.44140625" style="52" customWidth="1"/>
    <col min="6" max="6" width="13" style="51" customWidth="1"/>
    <col min="7" max="7" width="10.6640625" style="115" customWidth="1"/>
    <col min="8" max="8" width="9" style="115" customWidth="1"/>
    <col min="9" max="9" width="50.109375" style="2" customWidth="1"/>
    <col min="10" max="10" width="13.88671875" style="84" customWidth="1"/>
    <col min="11" max="11" width="11.77734375" style="120" customWidth="1"/>
    <col min="12" max="12" width="9.33203125" style="18"/>
    <col min="13" max="13" width="17.44140625" style="18" bestFit="1" customWidth="1"/>
    <col min="14" max="14" width="18.44140625" style="18" customWidth="1"/>
    <col min="15" max="15" width="16" style="18" customWidth="1"/>
    <col min="16" max="19" width="9.33203125" style="18"/>
    <col min="20" max="16384" width="9.33203125" style="1"/>
  </cols>
  <sheetData>
    <row r="1" spans="1:19" ht="51.75" customHeight="1" thickBot="1" x14ac:dyDescent="0.3">
      <c r="A1" s="347" t="s">
        <v>241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9" s="4" customFormat="1" ht="65.400000000000006" customHeight="1" x14ac:dyDescent="0.25">
      <c r="A2" s="348" t="s">
        <v>0</v>
      </c>
      <c r="B2" s="350" t="s">
        <v>1</v>
      </c>
      <c r="C2" s="351"/>
      <c r="D2" s="352" t="s">
        <v>2</v>
      </c>
      <c r="E2" s="354" t="s">
        <v>3</v>
      </c>
      <c r="F2" s="356" t="s">
        <v>4</v>
      </c>
      <c r="G2" s="358" t="s">
        <v>5</v>
      </c>
      <c r="H2" s="359"/>
      <c r="I2" s="359"/>
      <c r="J2" s="360"/>
      <c r="K2" s="361" t="s">
        <v>6</v>
      </c>
      <c r="L2" s="58"/>
      <c r="M2" s="58"/>
      <c r="N2" s="58"/>
      <c r="O2" s="58"/>
      <c r="P2" s="58"/>
      <c r="Q2" s="58"/>
      <c r="R2" s="58"/>
      <c r="S2" s="58"/>
    </row>
    <row r="3" spans="1:19" s="4" customFormat="1" ht="73.2" customHeight="1" thickBot="1" x14ac:dyDescent="0.3">
      <c r="A3" s="349"/>
      <c r="B3" s="214" t="s">
        <v>7</v>
      </c>
      <c r="C3" s="228" t="s">
        <v>8</v>
      </c>
      <c r="D3" s="353"/>
      <c r="E3" s="355"/>
      <c r="F3" s="357"/>
      <c r="G3" s="216" t="s">
        <v>9</v>
      </c>
      <c r="H3" s="217" t="s">
        <v>10</v>
      </c>
      <c r="I3" s="218" t="s">
        <v>11</v>
      </c>
      <c r="J3" s="134" t="s">
        <v>12</v>
      </c>
      <c r="K3" s="362"/>
      <c r="L3" s="58"/>
      <c r="M3" s="58"/>
      <c r="N3" s="58"/>
      <c r="O3" s="58"/>
      <c r="P3" s="58"/>
      <c r="Q3" s="58"/>
      <c r="R3" s="58"/>
      <c r="S3" s="58"/>
    </row>
    <row r="4" spans="1:19" ht="27" customHeight="1" thickBot="1" x14ac:dyDescent="0.3">
      <c r="A4" s="334" t="s">
        <v>242</v>
      </c>
      <c r="B4" s="335"/>
      <c r="C4" s="335"/>
      <c r="D4" s="335"/>
      <c r="E4" s="335"/>
      <c r="F4" s="335"/>
      <c r="G4" s="335"/>
      <c r="H4" s="335"/>
      <c r="I4" s="335"/>
      <c r="J4" s="335"/>
      <c r="K4" s="336"/>
    </row>
    <row r="5" spans="1:19" s="6" customFormat="1" ht="24" customHeight="1" x14ac:dyDescent="0.3">
      <c r="A5" s="337" t="s">
        <v>13</v>
      </c>
      <c r="B5" s="339" t="s">
        <v>14</v>
      </c>
      <c r="C5" s="340"/>
      <c r="D5" s="340"/>
      <c r="E5" s="341"/>
      <c r="F5" s="202">
        <f>F6+F7+F8+F9+F10+F11+F12+F13+F14+F15</f>
        <v>75.80932</v>
      </c>
      <c r="G5" s="342" t="s">
        <v>14</v>
      </c>
      <c r="H5" s="340"/>
      <c r="I5" s="341"/>
      <c r="J5" s="166" t="e">
        <f>J6+J7+J8+J9+J10+J11+J12+J13+J14+J15+#REF!+#REF!+#REF!+#REF!+#REF!+#REF!+#REF!+#REF!</f>
        <v>#REF!</v>
      </c>
      <c r="K5" s="166">
        <f>K6+K7+K8+K9+K10+K11+K12+K13+K14+K15</f>
        <v>16.632000000000001</v>
      </c>
      <c r="L5" s="59"/>
      <c r="M5" s="60"/>
      <c r="N5" s="18"/>
      <c r="O5" s="18"/>
      <c r="P5" s="18"/>
      <c r="Q5" s="18"/>
      <c r="R5" s="18"/>
      <c r="S5" s="59"/>
    </row>
    <row r="6" spans="1:19" s="18" customFormat="1" ht="18" customHeight="1" x14ac:dyDescent="0.35">
      <c r="A6" s="338"/>
      <c r="B6" s="116">
        <v>0</v>
      </c>
      <c r="C6" s="201">
        <v>16.632000000000001</v>
      </c>
      <c r="D6" s="164" t="s">
        <v>172</v>
      </c>
      <c r="E6" s="253">
        <v>300</v>
      </c>
      <c r="F6" s="201">
        <v>16.632000000000001</v>
      </c>
      <c r="G6" s="104">
        <v>0</v>
      </c>
      <c r="H6" s="104">
        <v>0</v>
      </c>
      <c r="I6" s="9" t="str">
        <f t="shared" ref="I6:I15" si="0">D6</f>
        <v>Дизельне паливо</v>
      </c>
      <c r="J6" s="171">
        <f>F6-K6</f>
        <v>0</v>
      </c>
      <c r="K6" s="181">
        <f>F6</f>
        <v>16.632000000000001</v>
      </c>
      <c r="M6" s="299"/>
      <c r="N6" s="126"/>
      <c r="O6" s="59"/>
    </row>
    <row r="7" spans="1:19" s="18" customFormat="1" ht="16.8" customHeight="1" x14ac:dyDescent="0.3">
      <c r="A7" s="338"/>
      <c r="B7" s="116">
        <v>0</v>
      </c>
      <c r="C7" s="201">
        <v>0.86399999999999999</v>
      </c>
      <c r="D7" s="164" t="s">
        <v>244</v>
      </c>
      <c r="E7" s="253">
        <v>2</v>
      </c>
      <c r="F7" s="201">
        <v>0.86399999999999999</v>
      </c>
      <c r="G7" s="104">
        <v>0</v>
      </c>
      <c r="H7" s="104">
        <v>0</v>
      </c>
      <c r="I7" s="9" t="str">
        <f t="shared" si="0"/>
        <v>Ручка скоба для дверей</v>
      </c>
      <c r="J7" s="171">
        <f t="shared" ref="J7:J15" si="1">F7</f>
        <v>0.86399999999999999</v>
      </c>
      <c r="K7" s="56">
        <f t="shared" ref="K7:K15" si="2">F7-J7</f>
        <v>0</v>
      </c>
      <c r="M7" s="299"/>
      <c r="O7" s="59"/>
    </row>
    <row r="8" spans="1:19" s="18" customFormat="1" ht="16.8" customHeight="1" x14ac:dyDescent="0.35">
      <c r="A8" s="338"/>
      <c r="B8" s="116">
        <v>0</v>
      </c>
      <c r="C8" s="201">
        <v>0.85399999999999998</v>
      </c>
      <c r="D8" s="164" t="s">
        <v>245</v>
      </c>
      <c r="E8" s="253">
        <v>2</v>
      </c>
      <c r="F8" s="201">
        <v>0.85399999999999998</v>
      </c>
      <c r="G8" s="104">
        <v>0</v>
      </c>
      <c r="H8" s="104">
        <v>0</v>
      </c>
      <c r="I8" s="9" t="str">
        <f t="shared" si="0"/>
        <v>Ручка тягнуча</v>
      </c>
      <c r="J8" s="171">
        <f t="shared" si="1"/>
        <v>0.85399999999999998</v>
      </c>
      <c r="K8" s="56">
        <f t="shared" si="2"/>
        <v>0</v>
      </c>
      <c r="M8" s="299"/>
      <c r="N8" s="126"/>
    </row>
    <row r="9" spans="1:19" s="18" customFormat="1" ht="16.8" customHeight="1" x14ac:dyDescent="0.25">
      <c r="A9" s="338"/>
      <c r="B9" s="116">
        <v>0</v>
      </c>
      <c r="C9" s="201">
        <v>6.6260000000000003</v>
      </c>
      <c r="D9" s="164" t="s">
        <v>253</v>
      </c>
      <c r="E9" s="253">
        <v>17</v>
      </c>
      <c r="F9" s="201">
        <v>6.6260000000000003</v>
      </c>
      <c r="G9" s="104">
        <v>0</v>
      </c>
      <c r="H9" s="104">
        <v>0</v>
      </c>
      <c r="I9" s="9" t="str">
        <f t="shared" si="0"/>
        <v>Винилас ткан "Sofitel+№10"</v>
      </c>
      <c r="J9" s="171">
        <f t="shared" si="1"/>
        <v>6.6260000000000003</v>
      </c>
      <c r="K9" s="56">
        <f t="shared" si="2"/>
        <v>0</v>
      </c>
      <c r="M9" s="229"/>
    </row>
    <row r="10" spans="1:19" s="18" customFormat="1" ht="17.399999999999999" customHeight="1" x14ac:dyDescent="0.25">
      <c r="A10" s="338"/>
      <c r="B10" s="116">
        <v>0</v>
      </c>
      <c r="C10" s="201">
        <v>10.992000000000001</v>
      </c>
      <c r="D10" s="252" t="s">
        <v>268</v>
      </c>
      <c r="E10" s="253">
        <v>200</v>
      </c>
      <c r="F10" s="201">
        <v>10.992000000000001</v>
      </c>
      <c r="G10" s="104">
        <v>0</v>
      </c>
      <c r="H10" s="104">
        <v>0</v>
      </c>
      <c r="I10" s="9" t="str">
        <f t="shared" si="0"/>
        <v>Бензин А-95 (в талонах)</v>
      </c>
      <c r="J10" s="171">
        <f t="shared" si="1"/>
        <v>10.992000000000001</v>
      </c>
      <c r="K10" s="56">
        <f t="shared" si="2"/>
        <v>0</v>
      </c>
    </row>
    <row r="11" spans="1:19" s="18" customFormat="1" ht="32.4" customHeight="1" x14ac:dyDescent="0.25">
      <c r="A11" s="338"/>
      <c r="B11" s="116">
        <v>0</v>
      </c>
      <c r="C11" s="201">
        <v>4.407</v>
      </c>
      <c r="D11" s="184" t="s">
        <v>270</v>
      </c>
      <c r="E11" s="253">
        <v>2</v>
      </c>
      <c r="F11" s="201">
        <v>4.4072399999999998</v>
      </c>
      <c r="G11" s="104">
        <v>0</v>
      </c>
      <c r="H11" s="104">
        <v>0</v>
      </c>
      <c r="I11" s="9" t="str">
        <f t="shared" si="0"/>
        <v>CN003 Розє'м "мама-тато" для Embryo Shield IVF Prime</v>
      </c>
      <c r="J11" s="171">
        <f t="shared" si="1"/>
        <v>4.4072399999999998</v>
      </c>
      <c r="K11" s="56">
        <f t="shared" si="2"/>
        <v>0</v>
      </c>
    </row>
    <row r="12" spans="1:19" s="18" customFormat="1" ht="31.5" customHeight="1" x14ac:dyDescent="0.25">
      <c r="A12" s="338"/>
      <c r="B12" s="116">
        <v>0</v>
      </c>
      <c r="C12" s="201">
        <v>12.371</v>
      </c>
      <c r="D12" s="184" t="s">
        <v>269</v>
      </c>
      <c r="E12" s="253">
        <v>2</v>
      </c>
      <c r="F12" s="201">
        <v>12.370900000000001</v>
      </c>
      <c r="G12" s="104">
        <v>0</v>
      </c>
      <c r="H12" s="104">
        <v>0</v>
      </c>
      <c r="I12" s="9" t="str">
        <f t="shared" si="0"/>
        <v>ES001 Газовий In-Line фільтр Embryo Shield IVF Prime</v>
      </c>
      <c r="J12" s="171">
        <f t="shared" si="1"/>
        <v>12.370900000000001</v>
      </c>
      <c r="K12" s="56">
        <f t="shared" si="2"/>
        <v>0</v>
      </c>
    </row>
    <row r="13" spans="1:19" s="18" customFormat="1" ht="27.6" customHeight="1" x14ac:dyDescent="0.25">
      <c r="A13" s="338"/>
      <c r="B13" s="116">
        <v>0</v>
      </c>
      <c r="C13" s="201">
        <v>4.5620000000000003</v>
      </c>
      <c r="D13" s="184" t="s">
        <v>271</v>
      </c>
      <c r="E13" s="253">
        <v>2</v>
      </c>
      <c r="F13" s="201">
        <v>4.5621799999999997</v>
      </c>
      <c r="G13" s="104">
        <v>0</v>
      </c>
      <c r="H13" s="104">
        <v>0</v>
      </c>
      <c r="I13" s="9" t="str">
        <f t="shared" si="0"/>
        <v>HL001 Магнітний приймач  Embryo Shield IVF Prime</v>
      </c>
      <c r="J13" s="171">
        <f t="shared" si="1"/>
        <v>4.5621799999999997</v>
      </c>
      <c r="K13" s="56">
        <f t="shared" si="2"/>
        <v>0</v>
      </c>
      <c r="M13" s="229"/>
    </row>
    <row r="14" spans="1:19" s="18" customFormat="1" ht="18" customHeight="1" x14ac:dyDescent="0.25">
      <c r="A14" s="338"/>
      <c r="B14" s="116">
        <v>0</v>
      </c>
      <c r="C14" s="201">
        <v>10.573</v>
      </c>
      <c r="D14" s="164" t="s">
        <v>172</v>
      </c>
      <c r="E14" s="253">
        <v>200</v>
      </c>
      <c r="F14" s="201">
        <v>10.571999999999999</v>
      </c>
      <c r="G14" s="104">
        <v>0</v>
      </c>
      <c r="H14" s="104">
        <v>0</v>
      </c>
      <c r="I14" s="9" t="str">
        <f t="shared" si="0"/>
        <v>Дизельне паливо</v>
      </c>
      <c r="J14" s="171">
        <f t="shared" si="1"/>
        <v>10.571999999999999</v>
      </c>
      <c r="K14" s="56">
        <f t="shared" si="2"/>
        <v>0</v>
      </c>
    </row>
    <row r="15" spans="1:19" s="18" customFormat="1" ht="18" customHeight="1" thickBot="1" x14ac:dyDescent="0.3">
      <c r="A15" s="338"/>
      <c r="B15" s="116">
        <v>0</v>
      </c>
      <c r="C15" s="201">
        <v>7.9290000000000003</v>
      </c>
      <c r="D15" s="164" t="s">
        <v>169</v>
      </c>
      <c r="E15" s="253">
        <v>150</v>
      </c>
      <c r="F15" s="201">
        <v>7.9290000000000003</v>
      </c>
      <c r="G15" s="104">
        <v>0</v>
      </c>
      <c r="H15" s="104">
        <v>0</v>
      </c>
      <c r="I15" s="9" t="str">
        <f t="shared" si="0"/>
        <v>Бензин А-95 (в толонах)</v>
      </c>
      <c r="J15" s="171">
        <f t="shared" si="1"/>
        <v>7.9290000000000003</v>
      </c>
      <c r="K15" s="56">
        <f t="shared" si="2"/>
        <v>0</v>
      </c>
    </row>
    <row r="16" spans="1:19" s="6" customFormat="1" ht="28.8" customHeight="1" x14ac:dyDescent="0.3">
      <c r="A16" s="337" t="s">
        <v>154</v>
      </c>
      <c r="B16" s="330" t="s">
        <v>15</v>
      </c>
      <c r="C16" s="331"/>
      <c r="D16" s="331"/>
      <c r="E16" s="332"/>
      <c r="F16" s="203">
        <f>F17+F23+F26+F30+F37+F40+F46+F49+F51+F55+F57+F59+F62+F65+F69+F73+F76+F78+F80+F83+F88+F91+F95</f>
        <v>460.11616299999991</v>
      </c>
      <c r="G16" s="333" t="s">
        <v>15</v>
      </c>
      <c r="H16" s="331"/>
      <c r="I16" s="332"/>
      <c r="J16" s="167" t="e">
        <f>J17+J30+J40+J46+J55+J59+J62+J65+J69+J73</f>
        <v>#REF!</v>
      </c>
      <c r="K16" s="55">
        <f>K17+K30+K46+K55+K59+K62+K65+K69+K73+K40</f>
        <v>1334.4628130000001</v>
      </c>
      <c r="L16" s="59"/>
      <c r="M16" s="59"/>
      <c r="N16" s="18"/>
      <c r="O16" s="18"/>
      <c r="P16" s="18"/>
      <c r="Q16" s="18"/>
      <c r="R16" s="18"/>
      <c r="S16" s="59"/>
    </row>
    <row r="17" spans="1:19" ht="16.8" customHeight="1" x14ac:dyDescent="0.25">
      <c r="A17" s="338"/>
      <c r="B17" s="343" t="s">
        <v>16</v>
      </c>
      <c r="C17" s="344"/>
      <c r="D17" s="344"/>
      <c r="E17" s="345"/>
      <c r="F17" s="204">
        <f>F18+F19+F20+F21+F22</f>
        <v>9.5499999999999989</v>
      </c>
      <c r="G17" s="346" t="s">
        <v>16</v>
      </c>
      <c r="H17" s="344"/>
      <c r="I17" s="345"/>
      <c r="J17" s="165" t="e">
        <f>J24+J27+J28+#REF!+#REF!</f>
        <v>#REF!</v>
      </c>
      <c r="K17" s="54">
        <f>SUM(K24:K29)</f>
        <v>373.52471299999996</v>
      </c>
    </row>
    <row r="18" spans="1:19" ht="36.6" customHeight="1" x14ac:dyDescent="0.25">
      <c r="A18" s="338"/>
      <c r="B18" s="116">
        <v>0</v>
      </c>
      <c r="C18" s="201">
        <v>1.3</v>
      </c>
      <c r="D18" s="9" t="s">
        <v>246</v>
      </c>
      <c r="E18" s="255">
        <v>500</v>
      </c>
      <c r="F18" s="201">
        <v>1.3</v>
      </c>
      <c r="G18" s="104">
        <v>0</v>
      </c>
      <c r="H18" s="104">
        <v>0</v>
      </c>
      <c r="I18" s="9" t="str">
        <f t="shared" ref="I18:I22" si="3">D18</f>
        <v xml:space="preserve">RPR-carbon-тест 500 визн </v>
      </c>
      <c r="J18" s="171">
        <f t="shared" ref="J18:J22" si="4">F18</f>
        <v>1.3</v>
      </c>
      <c r="K18" s="56">
        <f t="shared" ref="K18" si="5">F18-J18</f>
        <v>0</v>
      </c>
    </row>
    <row r="19" spans="1:19" ht="36.6" customHeight="1" x14ac:dyDescent="0.25">
      <c r="A19" s="338"/>
      <c r="B19" s="116">
        <v>0</v>
      </c>
      <c r="C19" s="201">
        <v>4.1500000000000004</v>
      </c>
      <c r="D19" s="9" t="s">
        <v>247</v>
      </c>
      <c r="E19" s="255">
        <v>5</v>
      </c>
      <c r="F19" s="201">
        <v>4.1500000000000004</v>
      </c>
      <c r="G19" s="104">
        <v>0</v>
      </c>
      <c r="H19" s="104">
        <v>0</v>
      </c>
      <c r="I19" s="9" t="str">
        <f t="shared" si="3"/>
        <v>Глюкоза СпЛ 250</v>
      </c>
      <c r="J19" s="171">
        <f t="shared" si="4"/>
        <v>4.1500000000000004</v>
      </c>
      <c r="K19" s="54">
        <f t="shared" ref="K19:K22" si="6">F19</f>
        <v>4.1500000000000004</v>
      </c>
    </row>
    <row r="20" spans="1:19" ht="36.6" customHeight="1" x14ac:dyDescent="0.25">
      <c r="A20" s="338"/>
      <c r="B20" s="116">
        <v>0</v>
      </c>
      <c r="C20" s="201">
        <v>3.7</v>
      </c>
      <c r="D20" s="9" t="s">
        <v>248</v>
      </c>
      <c r="E20" s="255">
        <v>10</v>
      </c>
      <c r="F20" s="201">
        <v>3.7</v>
      </c>
      <c r="G20" s="104">
        <v>0</v>
      </c>
      <c r="H20" s="104">
        <v>0</v>
      </c>
      <c r="I20" s="9" t="str">
        <f t="shared" si="3"/>
        <v>Загальний білок СпЛ 250</v>
      </c>
      <c r="J20" s="171">
        <f t="shared" si="4"/>
        <v>3.7</v>
      </c>
      <c r="K20" s="54">
        <f t="shared" si="6"/>
        <v>3.7</v>
      </c>
    </row>
    <row r="21" spans="1:19" ht="36.6" customHeight="1" x14ac:dyDescent="0.25">
      <c r="A21" s="338"/>
      <c r="B21" s="116">
        <v>0</v>
      </c>
      <c r="C21" s="201">
        <v>0.2</v>
      </c>
      <c r="D21" s="9" t="s">
        <v>249</v>
      </c>
      <c r="E21" s="255">
        <v>1</v>
      </c>
      <c r="F21" s="201">
        <v>0.2</v>
      </c>
      <c r="G21" s="104">
        <v>0</v>
      </c>
      <c r="H21" s="104">
        <v>0</v>
      </c>
      <c r="I21" s="9" t="str">
        <f t="shared" si="3"/>
        <v>Дісгностичний поліспецифічний антилюдський глобулін анти-С3d M/IG pluc</v>
      </c>
      <c r="J21" s="171">
        <f t="shared" si="4"/>
        <v>0.2</v>
      </c>
      <c r="K21" s="54">
        <f t="shared" si="6"/>
        <v>0.2</v>
      </c>
    </row>
    <row r="22" spans="1:19" ht="36.6" customHeight="1" x14ac:dyDescent="0.25">
      <c r="A22" s="338"/>
      <c r="B22" s="116">
        <v>0</v>
      </c>
      <c r="C22" s="201">
        <v>0.2</v>
      </c>
      <c r="D22" s="9" t="s">
        <v>250</v>
      </c>
      <c r="E22" s="255">
        <v>2</v>
      </c>
      <c r="F22" s="201">
        <v>0.2</v>
      </c>
      <c r="G22" s="104">
        <v>0</v>
      </c>
      <c r="H22" s="104">
        <v>0</v>
      </c>
      <c r="I22" s="9" t="str">
        <f t="shared" si="3"/>
        <v xml:space="preserve">Діагностичний моноклональний реагент Анти-В </v>
      </c>
      <c r="J22" s="171">
        <f t="shared" si="4"/>
        <v>0.2</v>
      </c>
      <c r="K22" s="54">
        <f t="shared" si="6"/>
        <v>0.2</v>
      </c>
    </row>
    <row r="23" spans="1:19" ht="24.6" customHeight="1" x14ac:dyDescent="0.25">
      <c r="A23" s="338"/>
      <c r="B23" s="343" t="s">
        <v>16</v>
      </c>
      <c r="C23" s="344"/>
      <c r="D23" s="344"/>
      <c r="E23" s="345"/>
      <c r="F23" s="204">
        <f>F24+F25</f>
        <v>7.4172929999999999</v>
      </c>
      <c r="G23" s="346" t="s">
        <v>16</v>
      </c>
      <c r="H23" s="344"/>
      <c r="I23" s="345"/>
      <c r="J23" s="165">
        <f>J31+J32+J33+J34+J35</f>
        <v>3.4941899999999997</v>
      </c>
      <c r="K23" s="54">
        <f>SUM(K31:K35)</f>
        <v>15.621259999999999</v>
      </c>
    </row>
    <row r="24" spans="1:19" ht="31.2" customHeight="1" x14ac:dyDescent="0.25">
      <c r="A24" s="338"/>
      <c r="B24" s="116">
        <v>0</v>
      </c>
      <c r="C24" s="201">
        <v>1.1990000000000001</v>
      </c>
      <c r="D24" s="9" t="s">
        <v>17</v>
      </c>
      <c r="E24" s="256">
        <v>0.2</v>
      </c>
      <c r="F24" s="201">
        <v>1.199395</v>
      </c>
      <c r="G24" s="104">
        <v>0</v>
      </c>
      <c r="H24" s="104">
        <v>0</v>
      </c>
      <c r="I24" s="9" t="str">
        <f t="shared" ref="I24:I29" si="7">D24</f>
        <v>Середовище культуральне Flushing Medium 5x60ml, паков</v>
      </c>
      <c r="J24" s="171">
        <f>F24-K24</f>
        <v>0</v>
      </c>
      <c r="K24" s="54">
        <f>F24</f>
        <v>1.199395</v>
      </c>
    </row>
    <row r="25" spans="1:19" ht="31.2" customHeight="1" x14ac:dyDescent="0.25">
      <c r="A25" s="338"/>
      <c r="B25" s="116"/>
      <c r="C25" s="201">
        <v>6.218</v>
      </c>
      <c r="D25" s="9" t="s">
        <v>174</v>
      </c>
      <c r="E25" s="256">
        <v>3</v>
      </c>
      <c r="F25" s="201">
        <v>6.2178979999999999</v>
      </c>
      <c r="G25" s="104">
        <v>0</v>
      </c>
      <c r="H25" s="104">
        <v>0</v>
      </c>
      <c r="I25" s="9" t="str">
        <f t="shared" ref="I25" si="8">D25</f>
        <v>Середовище культуральне SAGE 1-Step™ with Human Serum Albumin 10 ml</v>
      </c>
      <c r="J25" s="171">
        <f t="shared" ref="J25" si="9">F25-K25</f>
        <v>0</v>
      </c>
      <c r="K25" s="54">
        <f>F25</f>
        <v>6.2178979999999999</v>
      </c>
    </row>
    <row r="26" spans="1:19" ht="31.2" customHeight="1" x14ac:dyDescent="0.25">
      <c r="A26" s="338"/>
      <c r="B26" s="343" t="s">
        <v>16</v>
      </c>
      <c r="C26" s="344"/>
      <c r="D26" s="344"/>
      <c r="E26" s="345"/>
      <c r="F26" s="204">
        <f>F27+F28+F29</f>
        <v>52.235020000000006</v>
      </c>
      <c r="G26" s="346" t="s">
        <v>16</v>
      </c>
      <c r="H26" s="344"/>
      <c r="I26" s="345"/>
      <c r="J26" s="165">
        <f>J34+J35+J38+J39+J40</f>
        <v>3.2502100000000009</v>
      </c>
      <c r="K26" s="54">
        <f>SUM(K34:K40)</f>
        <v>334.15697</v>
      </c>
    </row>
    <row r="27" spans="1:19" ht="43.8" customHeight="1" x14ac:dyDescent="0.25">
      <c r="A27" s="338"/>
      <c r="B27" s="116">
        <v>0</v>
      </c>
      <c r="C27" s="201">
        <v>16.32</v>
      </c>
      <c r="D27" s="30" t="s">
        <v>257</v>
      </c>
      <c r="E27" s="256">
        <v>1</v>
      </c>
      <c r="F27" s="201">
        <v>16.323450000000001</v>
      </c>
      <c r="G27" s="104">
        <v>0</v>
      </c>
      <c r="H27" s="104">
        <v>0</v>
      </c>
      <c r="I27" s="9" t="str">
        <f t="shared" si="7"/>
        <v>110 Середовища для вітрифікації (заморожування) (середовища 14,4мл)</v>
      </c>
      <c r="J27" s="171">
        <f>F27-K27</f>
        <v>0</v>
      </c>
      <c r="K27" s="54">
        <f>F27</f>
        <v>16.323450000000001</v>
      </c>
    </row>
    <row r="28" spans="1:19" ht="32.25" customHeight="1" x14ac:dyDescent="0.25">
      <c r="A28" s="338"/>
      <c r="B28" s="116">
        <v>0</v>
      </c>
      <c r="C28" s="201">
        <v>16.323</v>
      </c>
      <c r="D28" s="30" t="s">
        <v>258</v>
      </c>
      <c r="E28" s="256">
        <v>2</v>
      </c>
      <c r="F28" s="201">
        <v>16.323450000000001</v>
      </c>
      <c r="G28" s="104">
        <v>0</v>
      </c>
      <c r="H28" s="104">
        <v>0</v>
      </c>
      <c r="I28" s="9" t="str">
        <f t="shared" si="7"/>
        <v>205 Середовища для розморожування  (заморожування) (середовища 14,4мл)</v>
      </c>
      <c r="J28" s="171">
        <f t="shared" ref="J28" si="10">F28-K28</f>
        <v>0.69645000000000046</v>
      </c>
      <c r="K28" s="54">
        <v>15.627000000000001</v>
      </c>
    </row>
    <row r="29" spans="1:19" ht="32.25" customHeight="1" x14ac:dyDescent="0.25">
      <c r="A29" s="338"/>
      <c r="B29" s="116"/>
      <c r="C29" s="201">
        <v>19.588000000000001</v>
      </c>
      <c r="D29" s="30" t="s">
        <v>259</v>
      </c>
      <c r="E29" s="256">
        <v>3</v>
      </c>
      <c r="F29" s="201">
        <v>19.58812</v>
      </c>
      <c r="G29" s="104"/>
      <c r="H29" s="104"/>
      <c r="I29" s="9" t="str">
        <f t="shared" si="7"/>
        <v>CR Соломинидля вітрифікації (заморожування) Cryotec (10од/уп)</v>
      </c>
      <c r="J29" s="171"/>
      <c r="K29" s="54"/>
    </row>
    <row r="30" spans="1:19" ht="19.2" customHeight="1" x14ac:dyDescent="0.25">
      <c r="A30" s="338"/>
      <c r="B30" s="343" t="s">
        <v>16</v>
      </c>
      <c r="C30" s="344"/>
      <c r="D30" s="344"/>
      <c r="E30" s="345"/>
      <c r="F30" s="204">
        <f>F31+F32+F33+F34+F35+F36</f>
        <v>22.94566</v>
      </c>
      <c r="G30" s="346" t="s">
        <v>16</v>
      </c>
      <c r="H30" s="344"/>
      <c r="I30" s="345"/>
      <c r="J30" s="165">
        <f>J31+J32+J33+J34+J35+J38+J39</f>
        <v>3.4941899999999997</v>
      </c>
      <c r="K30" s="54">
        <f>SUM(K31:K39)</f>
        <v>330.79428000000001</v>
      </c>
    </row>
    <row r="31" spans="1:19" s="17" customFormat="1" ht="45.6" customHeight="1" x14ac:dyDescent="0.25">
      <c r="A31" s="338"/>
      <c r="B31" s="116">
        <v>0</v>
      </c>
      <c r="C31" s="201">
        <v>6.2450000000000001</v>
      </c>
      <c r="D31" s="186" t="s">
        <v>21</v>
      </c>
      <c r="E31" s="256">
        <v>3</v>
      </c>
      <c r="F31" s="201">
        <v>6.2449300000000001</v>
      </c>
      <c r="G31" s="104">
        <v>0</v>
      </c>
      <c r="H31" s="104">
        <v>0</v>
      </c>
      <c r="I31" s="9" t="str">
        <f t="shared" ref="I31:I39" si="11">D31</f>
        <v>Середовище культуральне SAGE 1-Step™ with Human Serum Albumin 10 ml, паков</v>
      </c>
      <c r="J31" s="171">
        <f t="shared" ref="J31:J39" si="12">F31-K31</f>
        <v>0</v>
      </c>
      <c r="K31" s="54">
        <f>F31</f>
        <v>6.2449300000000001</v>
      </c>
      <c r="L31" s="18"/>
      <c r="M31" s="18"/>
      <c r="N31" s="18"/>
      <c r="O31" s="18"/>
      <c r="P31" s="18"/>
      <c r="Q31" s="18"/>
      <c r="R31" s="18"/>
      <c r="S31" s="18"/>
    </row>
    <row r="32" spans="1:19" s="17" customFormat="1" ht="36.75" customHeight="1" x14ac:dyDescent="0.25">
      <c r="A32" s="338"/>
      <c r="B32" s="116">
        <v>0</v>
      </c>
      <c r="C32" s="201">
        <v>3.5179999999999998</v>
      </c>
      <c r="D32" s="30" t="s">
        <v>407</v>
      </c>
      <c r="E32" s="256">
        <v>3</v>
      </c>
      <c r="F32" s="201">
        <v>3.5183900000000001</v>
      </c>
      <c r="G32" s="104">
        <v>0</v>
      </c>
      <c r="H32" s="104">
        <v>0</v>
      </c>
      <c r="I32" s="9" t="str">
        <f t="shared" si="11"/>
        <v>Середовище культуральне ORIGIO Sequential Fert™, 10 ml, паков</v>
      </c>
      <c r="J32" s="171">
        <f t="shared" si="12"/>
        <v>0</v>
      </c>
      <c r="K32" s="54">
        <f>F32</f>
        <v>3.5183900000000001</v>
      </c>
      <c r="L32" s="18"/>
      <c r="M32" s="18"/>
      <c r="N32" s="18"/>
      <c r="O32" s="18"/>
      <c r="P32" s="18"/>
      <c r="Q32" s="18"/>
      <c r="R32" s="18"/>
      <c r="S32" s="18"/>
    </row>
    <row r="33" spans="1:19" s="17" customFormat="1" ht="44.4" customHeight="1" x14ac:dyDescent="0.25">
      <c r="A33" s="338"/>
      <c r="B33" s="116">
        <v>0</v>
      </c>
      <c r="C33" s="201">
        <v>6.2569999999999997</v>
      </c>
      <c r="D33" s="30" t="s">
        <v>408</v>
      </c>
      <c r="E33" s="256">
        <v>2</v>
      </c>
      <c r="F33" s="201">
        <v>6.2573999999999996</v>
      </c>
      <c r="G33" s="104">
        <v>0</v>
      </c>
      <c r="H33" s="104">
        <v>0</v>
      </c>
      <c r="I33" s="9" t="str">
        <f t="shared" si="11"/>
        <v>Середовище культуральне UTM™ Transfer Medium, with phenol red 10 ml, паков</v>
      </c>
      <c r="J33" s="171">
        <f t="shared" si="12"/>
        <v>4.7425799999999994</v>
      </c>
      <c r="K33" s="54">
        <v>1.5148200000000001</v>
      </c>
      <c r="L33" s="18"/>
      <c r="M33" s="18"/>
      <c r="N33" s="18"/>
      <c r="O33" s="18"/>
      <c r="P33" s="18"/>
      <c r="Q33" s="18"/>
      <c r="R33" s="18"/>
      <c r="S33" s="18"/>
    </row>
    <row r="34" spans="1:19" s="17" customFormat="1" ht="36.75" customHeight="1" x14ac:dyDescent="0.25">
      <c r="A34" s="338"/>
      <c r="B34" s="116">
        <v>0</v>
      </c>
      <c r="C34" s="201">
        <v>1.2050000000000001</v>
      </c>
      <c r="D34" s="30" t="s">
        <v>17</v>
      </c>
      <c r="E34" s="256">
        <v>0.2</v>
      </c>
      <c r="F34" s="201">
        <v>1.20461</v>
      </c>
      <c r="G34" s="104">
        <v>0</v>
      </c>
      <c r="H34" s="104">
        <v>0</v>
      </c>
      <c r="I34" s="9" t="str">
        <f t="shared" si="11"/>
        <v>Середовище культуральне Flushing Medium 5x60ml, паков</v>
      </c>
      <c r="J34" s="171">
        <f t="shared" si="12"/>
        <v>-1.2483899999999999</v>
      </c>
      <c r="K34" s="54">
        <v>2.4529999999999998</v>
      </c>
      <c r="L34" s="18"/>
      <c r="M34" s="18"/>
      <c r="N34" s="18"/>
      <c r="O34" s="18"/>
      <c r="P34" s="18"/>
      <c r="Q34" s="18"/>
      <c r="R34" s="18"/>
      <c r="S34" s="18"/>
    </row>
    <row r="35" spans="1:19" s="17" customFormat="1" ht="28.2" customHeight="1" x14ac:dyDescent="0.25">
      <c r="A35" s="338"/>
      <c r="B35" s="116"/>
      <c r="C35" s="201">
        <v>1.89</v>
      </c>
      <c r="D35" s="9" t="s">
        <v>18</v>
      </c>
      <c r="E35" s="256">
        <v>0.2</v>
      </c>
      <c r="F35" s="201">
        <v>1.89012</v>
      </c>
      <c r="G35" s="104">
        <v>0</v>
      </c>
      <c r="H35" s="104">
        <v>0</v>
      </c>
      <c r="I35" s="9" t="str">
        <f t="shared" si="11"/>
        <v>Середовище культуральне ICSI Cumulase 5x0,5ml, паков</v>
      </c>
      <c r="J35" s="171">
        <f t="shared" si="12"/>
        <v>0</v>
      </c>
      <c r="K35" s="54">
        <f>F35</f>
        <v>1.89012</v>
      </c>
      <c r="L35" s="18"/>
      <c r="M35" s="18"/>
      <c r="N35" s="18"/>
      <c r="O35" s="18"/>
      <c r="P35" s="18"/>
      <c r="Q35" s="18"/>
      <c r="R35" s="18"/>
      <c r="S35" s="18"/>
    </row>
    <row r="36" spans="1:19" s="17" customFormat="1" ht="28.2" customHeight="1" x14ac:dyDescent="0.25">
      <c r="A36" s="338"/>
      <c r="B36" s="116"/>
      <c r="C36" s="201">
        <v>3.83</v>
      </c>
      <c r="D36" s="9" t="s">
        <v>262</v>
      </c>
      <c r="E36" s="256">
        <v>1</v>
      </c>
      <c r="F36" s="201">
        <v>3.8302100000000001</v>
      </c>
      <c r="G36" s="104"/>
      <c r="H36" s="104"/>
      <c r="I36" s="9" t="str">
        <f t="shared" si="11"/>
        <v>Середовище культуральне OIL for  Tissue Culture 500 ml</v>
      </c>
      <c r="J36" s="171"/>
      <c r="K36" s="54"/>
      <c r="L36" s="18"/>
      <c r="M36" s="18"/>
      <c r="N36" s="18"/>
      <c r="O36" s="18"/>
      <c r="P36" s="18"/>
      <c r="Q36" s="18"/>
      <c r="R36" s="18"/>
      <c r="S36" s="18"/>
    </row>
    <row r="37" spans="1:19" ht="19.2" customHeight="1" x14ac:dyDescent="0.25">
      <c r="A37" s="338"/>
      <c r="B37" s="343" t="s">
        <v>16</v>
      </c>
      <c r="C37" s="344"/>
      <c r="D37" s="344"/>
      <c r="E37" s="345"/>
      <c r="F37" s="204">
        <f>F38+F39</f>
        <v>6.2850000000000001</v>
      </c>
      <c r="G37" s="346" t="s">
        <v>16</v>
      </c>
      <c r="H37" s="344"/>
      <c r="I37" s="345"/>
      <c r="J37" s="165">
        <f>J38+J39+J40+J41+J42+J46+J47</f>
        <v>33.041640000000001</v>
      </c>
      <c r="K37" s="54">
        <f>SUM(K38:K47)</f>
        <v>308.88801999999998</v>
      </c>
    </row>
    <row r="38" spans="1:19" s="17" customFormat="1" ht="61.8" customHeight="1" x14ac:dyDescent="0.25">
      <c r="A38" s="338"/>
      <c r="B38" s="116">
        <v>0</v>
      </c>
      <c r="C38" s="201">
        <v>1.2250000000000001</v>
      </c>
      <c r="D38" s="9" t="s">
        <v>317</v>
      </c>
      <c r="E38" s="114">
        <v>50</v>
      </c>
      <c r="F38" s="201">
        <v>1.2250000000000001</v>
      </c>
      <c r="G38" s="104">
        <v>0</v>
      </c>
      <c r="H38" s="104">
        <v>0</v>
      </c>
      <c r="I38" s="9" t="str">
        <f t="shared" si="11"/>
        <v>OOPW-CW05 Oosafe 50 мм чашка з центральною лункою з 2 відділеннями3 площаю для маркування, 10шт/уу 500шт/ящ 10шт/уп. 500шт/ящ</v>
      </c>
      <c r="J38" s="171">
        <f t="shared" si="12"/>
        <v>0</v>
      </c>
      <c r="K38" s="54">
        <f>F38</f>
        <v>1.2250000000000001</v>
      </c>
      <c r="L38" s="18"/>
      <c r="M38" s="18"/>
      <c r="N38" s="18"/>
      <c r="O38" s="18"/>
      <c r="P38" s="18"/>
      <c r="Q38" s="18"/>
      <c r="R38" s="18"/>
      <c r="S38" s="18"/>
    </row>
    <row r="39" spans="1:19" s="17" customFormat="1" ht="28.8" customHeight="1" x14ac:dyDescent="0.25">
      <c r="A39" s="338"/>
      <c r="B39" s="116">
        <v>0</v>
      </c>
      <c r="C39" s="201">
        <v>5.0599999999999996</v>
      </c>
      <c r="D39" s="254" t="s">
        <v>314</v>
      </c>
      <c r="E39" s="253">
        <v>1</v>
      </c>
      <c r="F39" s="201">
        <v>5.0599999999999996</v>
      </c>
      <c r="G39" s="104">
        <v>0</v>
      </c>
      <c r="H39" s="104">
        <v>0</v>
      </c>
      <c r="I39" s="9" t="str">
        <f t="shared" si="11"/>
        <v>Електрод - гачок</v>
      </c>
      <c r="J39" s="171">
        <f t="shared" si="12"/>
        <v>0</v>
      </c>
      <c r="K39" s="56">
        <f>F39</f>
        <v>5.0599999999999996</v>
      </c>
      <c r="L39" s="18"/>
      <c r="M39" s="18"/>
      <c r="N39" s="18"/>
      <c r="O39" s="18"/>
      <c r="P39" s="18"/>
      <c r="Q39" s="18"/>
      <c r="R39" s="18"/>
      <c r="S39" s="18"/>
    </row>
    <row r="40" spans="1:19" s="18" customFormat="1" ht="22.2" customHeight="1" x14ac:dyDescent="0.25">
      <c r="A40" s="338"/>
      <c r="B40" s="343" t="s">
        <v>16</v>
      </c>
      <c r="C40" s="344"/>
      <c r="D40" s="344"/>
      <c r="E40" s="345"/>
      <c r="F40" s="204">
        <f>F41+F42+F43+F44+F45</f>
        <v>22.708179999999999</v>
      </c>
      <c r="G40" s="346" t="s">
        <v>16</v>
      </c>
      <c r="H40" s="344"/>
      <c r="I40" s="345"/>
      <c r="J40" s="165">
        <f>J41+J42+J43+J45</f>
        <v>4.4986000000000006</v>
      </c>
      <c r="K40" s="54">
        <f>SUM(K41:K45)</f>
        <v>14.640830000000001</v>
      </c>
    </row>
    <row r="41" spans="1:19" s="18" customFormat="1" ht="46.5" customHeight="1" x14ac:dyDescent="0.25">
      <c r="A41" s="338"/>
      <c r="B41" s="116">
        <v>0</v>
      </c>
      <c r="C41" s="201">
        <f>F40:F41</f>
        <v>6.3469600000000002</v>
      </c>
      <c r="D41" s="30" t="s">
        <v>408</v>
      </c>
      <c r="E41" s="257">
        <v>2</v>
      </c>
      <c r="F41" s="201">
        <v>6.3469600000000002</v>
      </c>
      <c r="G41" s="104">
        <v>0</v>
      </c>
      <c r="H41" s="104">
        <v>0</v>
      </c>
      <c r="I41" s="9" t="str">
        <f t="shared" ref="I41:I45" si="13">D41</f>
        <v>Середовище культуральне UTM™ Transfer Medium, with phenol red 10 ml, паков</v>
      </c>
      <c r="J41" s="171">
        <f t="shared" ref="J41:J60" si="14">F41-K41</f>
        <v>6.3469600000000002</v>
      </c>
      <c r="K41" s="54">
        <v>0</v>
      </c>
    </row>
    <row r="42" spans="1:19" s="18" customFormat="1" ht="37.5" customHeight="1" x14ac:dyDescent="0.25">
      <c r="A42" s="338"/>
      <c r="B42" s="116">
        <v>0</v>
      </c>
      <c r="C42" s="201">
        <f t="shared" ref="C42:C48" si="15">F41:F42</f>
        <v>1.22184</v>
      </c>
      <c r="D42" s="30" t="s">
        <v>17</v>
      </c>
      <c r="E42" s="257">
        <v>0.2</v>
      </c>
      <c r="F42" s="201">
        <v>1.22184</v>
      </c>
      <c r="G42" s="104">
        <v>0</v>
      </c>
      <c r="H42" s="104">
        <v>0</v>
      </c>
      <c r="I42" s="9" t="str">
        <f t="shared" si="13"/>
        <v>Середовище культуральне Flushing Medium 5x60ml, паков</v>
      </c>
      <c r="J42" s="171">
        <f t="shared" si="14"/>
        <v>1.22184</v>
      </c>
      <c r="K42" s="54">
        <v>0</v>
      </c>
    </row>
    <row r="43" spans="1:19" s="18" customFormat="1" ht="37.5" customHeight="1" x14ac:dyDescent="0.25">
      <c r="A43" s="338"/>
      <c r="B43" s="116">
        <v>0</v>
      </c>
      <c r="C43" s="201">
        <f t="shared" si="15"/>
        <v>6.3342900000000002</v>
      </c>
      <c r="D43" s="30" t="s">
        <v>21</v>
      </c>
      <c r="E43" s="257">
        <v>3</v>
      </c>
      <c r="F43" s="201">
        <v>6.3342900000000002</v>
      </c>
      <c r="G43" s="104">
        <v>0</v>
      </c>
      <c r="H43" s="104">
        <v>0</v>
      </c>
      <c r="I43" s="9" t="str">
        <f t="shared" si="13"/>
        <v>Середовище культуральне SAGE 1-Step™ with Human Serum Albumin 10 ml, паков</v>
      </c>
      <c r="J43" s="171">
        <f t="shared" si="14"/>
        <v>0</v>
      </c>
      <c r="K43" s="54">
        <f>F43</f>
        <v>6.3342900000000002</v>
      </c>
    </row>
    <row r="44" spans="1:19" s="18" customFormat="1" ht="37.5" customHeight="1" x14ac:dyDescent="0.25">
      <c r="A44" s="338"/>
      <c r="B44" s="116"/>
      <c r="C44" s="201">
        <f t="shared" si="15"/>
        <v>3.5687500000000001</v>
      </c>
      <c r="D44" s="30" t="s">
        <v>409</v>
      </c>
      <c r="E44" s="257">
        <v>3</v>
      </c>
      <c r="F44" s="201">
        <v>3.5687500000000001</v>
      </c>
      <c r="G44" s="104"/>
      <c r="H44" s="104"/>
      <c r="I44" s="9" t="str">
        <f t="shared" si="13"/>
        <v>Середовище культуральне ORIGIO® Sequential Fert™, 10 ml, паков</v>
      </c>
      <c r="J44" s="171"/>
      <c r="K44" s="54"/>
    </row>
    <row r="45" spans="1:19" s="18" customFormat="1" ht="43.8" customHeight="1" thickBot="1" x14ac:dyDescent="0.3">
      <c r="A45" s="338"/>
      <c r="B45" s="116">
        <v>0</v>
      </c>
      <c r="C45" s="201">
        <f t="shared" si="15"/>
        <v>5.2363400000000002</v>
      </c>
      <c r="D45" s="30" t="s">
        <v>282</v>
      </c>
      <c r="E45" s="257">
        <v>1</v>
      </c>
      <c r="F45" s="201">
        <v>5.2363400000000002</v>
      </c>
      <c r="G45" s="104">
        <v>0</v>
      </c>
      <c r="H45" s="104">
        <v>0</v>
      </c>
      <c r="I45" s="9" t="str">
        <f t="shared" si="13"/>
        <v>Середовище культуральне PVP 10% Reaby-To-Use Solution 6x0,5ml 1</v>
      </c>
      <c r="J45" s="171">
        <f t="shared" si="14"/>
        <v>-3.0701999999999998</v>
      </c>
      <c r="K45" s="54">
        <v>8.30654</v>
      </c>
    </row>
    <row r="46" spans="1:19" ht="23.4" customHeight="1" x14ac:dyDescent="0.25">
      <c r="A46" s="337" t="s">
        <v>154</v>
      </c>
      <c r="B46" s="366" t="s">
        <v>16</v>
      </c>
      <c r="C46" s="364"/>
      <c r="D46" s="364"/>
      <c r="E46" s="365"/>
      <c r="F46" s="203">
        <f>F47+F48</f>
        <v>12.76975</v>
      </c>
      <c r="G46" s="363" t="s">
        <v>16</v>
      </c>
      <c r="H46" s="364"/>
      <c r="I46" s="365"/>
      <c r="J46" s="172">
        <f>J47+J48</f>
        <v>12.76962</v>
      </c>
      <c r="K46" s="57">
        <f>SUM(K47:K54)</f>
        <v>273.32135999999997</v>
      </c>
    </row>
    <row r="47" spans="1:19" ht="37.5" customHeight="1" x14ac:dyDescent="0.25">
      <c r="A47" s="338"/>
      <c r="B47" s="116">
        <v>0</v>
      </c>
      <c r="C47" s="201">
        <f t="shared" si="15"/>
        <v>8.2046200000000002</v>
      </c>
      <c r="D47" s="9" t="s">
        <v>175</v>
      </c>
      <c r="E47" s="256">
        <v>1</v>
      </c>
      <c r="F47" s="201">
        <v>8.2046200000000002</v>
      </c>
      <c r="G47" s="104">
        <v>0</v>
      </c>
      <c r="H47" s="104">
        <v>0</v>
      </c>
      <c r="I47" s="9" t="str">
        <f t="shared" ref="I47:I54" si="16">D47</f>
        <v>205 Середовища для розморожування (середовища 14,4 мл), шт</v>
      </c>
      <c r="J47" s="171">
        <f t="shared" si="14"/>
        <v>8.2046200000000002</v>
      </c>
      <c r="K47" s="54"/>
    </row>
    <row r="48" spans="1:19" ht="37.5" customHeight="1" thickBot="1" x14ac:dyDescent="0.3">
      <c r="A48" s="338"/>
      <c r="B48" s="116">
        <v>0</v>
      </c>
      <c r="C48" s="201">
        <f t="shared" si="15"/>
        <v>4.5651299999999999</v>
      </c>
      <c r="D48" s="9" t="s">
        <v>28</v>
      </c>
      <c r="E48" s="256">
        <v>1</v>
      </c>
      <c r="F48" s="201">
        <v>4.5651299999999999</v>
      </c>
      <c r="G48" s="104">
        <v>0</v>
      </c>
      <c r="H48" s="104">
        <v>0</v>
      </c>
      <c r="I48" s="9" t="str">
        <f t="shared" si="16"/>
        <v>WP Пластикова чашка для вітрифікації (10 од/уп), паков</v>
      </c>
      <c r="J48" s="171">
        <v>4.5650000000000004</v>
      </c>
      <c r="K48" s="54"/>
    </row>
    <row r="49" spans="1:18" ht="24.6" customHeight="1" x14ac:dyDescent="0.25">
      <c r="A49" s="338"/>
      <c r="B49" s="366" t="s">
        <v>16</v>
      </c>
      <c r="C49" s="364"/>
      <c r="D49" s="364"/>
      <c r="E49" s="365"/>
      <c r="F49" s="203">
        <f>F50</f>
        <v>3.2343999999999999</v>
      </c>
      <c r="G49" s="363" t="s">
        <v>16</v>
      </c>
      <c r="H49" s="364"/>
      <c r="I49" s="365"/>
      <c r="J49" s="172">
        <f t="shared" ref="J49" si="17">F49-K49</f>
        <v>-162.99487999999999</v>
      </c>
      <c r="K49" s="57">
        <f>SUM(K50:K58)</f>
        <v>166.22927999999999</v>
      </c>
    </row>
    <row r="50" spans="1:18" ht="37.5" customHeight="1" thickBot="1" x14ac:dyDescent="0.3">
      <c r="A50" s="338"/>
      <c r="B50" s="116">
        <v>0</v>
      </c>
      <c r="C50" s="201">
        <v>3.234</v>
      </c>
      <c r="D50" s="9" t="s">
        <v>272</v>
      </c>
      <c r="E50" s="256">
        <v>10</v>
      </c>
      <c r="F50" s="201">
        <v>3.2343999999999999</v>
      </c>
      <c r="G50" s="104">
        <v>0</v>
      </c>
      <c r="H50" s="104">
        <v>0</v>
      </c>
      <c r="I50" s="9" t="str">
        <f t="shared" si="16"/>
        <v>АТРАКУРІУМ- НОВО Розчин для Інєкцій, 10мг/мл по 5мл у флаконах №5</v>
      </c>
      <c r="J50" s="171">
        <f t="shared" si="14"/>
        <v>0</v>
      </c>
      <c r="K50" s="54">
        <f>F50</f>
        <v>3.2343999999999999</v>
      </c>
    </row>
    <row r="51" spans="1:18" ht="24.6" customHeight="1" x14ac:dyDescent="0.25">
      <c r="A51" s="338"/>
      <c r="B51" s="366" t="s">
        <v>16</v>
      </c>
      <c r="C51" s="364"/>
      <c r="D51" s="364"/>
      <c r="E51" s="365"/>
      <c r="F51" s="203">
        <f>F52+F53+F54</f>
        <v>37.041560000000004</v>
      </c>
      <c r="G51" s="363" t="s">
        <v>16</v>
      </c>
      <c r="H51" s="364"/>
      <c r="I51" s="365"/>
      <c r="J51" s="172">
        <f t="shared" si="14"/>
        <v>-52.543379999999999</v>
      </c>
      <c r="K51" s="57">
        <f>SUM(K52:K60)</f>
        <v>89.584940000000003</v>
      </c>
    </row>
    <row r="52" spans="1:18" ht="28.8" customHeight="1" x14ac:dyDescent="0.25">
      <c r="A52" s="338"/>
      <c r="B52" s="116">
        <v>0</v>
      </c>
      <c r="C52" s="201">
        <f t="shared" ref="C52:C54" si="18">F51:F52</f>
        <v>16.2591</v>
      </c>
      <c r="D52" s="9" t="s">
        <v>273</v>
      </c>
      <c r="E52" s="256">
        <v>1</v>
      </c>
      <c r="F52" s="201">
        <v>16.2591</v>
      </c>
      <c r="G52" s="104">
        <v>0</v>
      </c>
      <c r="H52" s="104">
        <v>0</v>
      </c>
      <c r="I52" s="9" t="str">
        <f t="shared" si="16"/>
        <v xml:space="preserve">110 Середовища для вітрифікації (заморожування) (середовища 10,8мл) </v>
      </c>
      <c r="J52" s="171">
        <f t="shared" si="14"/>
        <v>6.5097199999999997</v>
      </c>
      <c r="K52" s="54">
        <v>9.7493800000000004</v>
      </c>
    </row>
    <row r="53" spans="1:18" ht="28.8" customHeight="1" x14ac:dyDescent="0.25">
      <c r="A53" s="338"/>
      <c r="B53" s="116"/>
      <c r="C53" s="201">
        <f t="shared" si="18"/>
        <v>16.2591</v>
      </c>
      <c r="D53" s="9" t="s">
        <v>188</v>
      </c>
      <c r="E53" s="256">
        <v>2</v>
      </c>
      <c r="F53" s="201">
        <v>16.2591</v>
      </c>
      <c r="G53" s="104"/>
      <c r="H53" s="104"/>
      <c r="I53" s="9" t="str">
        <f t="shared" si="16"/>
        <v xml:space="preserve">205 Середовища для розморожування (середовища 14,4мл) </v>
      </c>
      <c r="J53" s="171"/>
      <c r="K53" s="54"/>
    </row>
    <row r="54" spans="1:18" s="18" customFormat="1" ht="31.8" customHeight="1" x14ac:dyDescent="0.25">
      <c r="A54" s="338"/>
      <c r="B54" s="116">
        <v>0</v>
      </c>
      <c r="C54" s="201">
        <f t="shared" si="18"/>
        <v>4.5233600000000003</v>
      </c>
      <c r="D54" s="9" t="s">
        <v>28</v>
      </c>
      <c r="E54" s="256">
        <v>1</v>
      </c>
      <c r="F54" s="201">
        <v>4.5233600000000003</v>
      </c>
      <c r="G54" s="104">
        <v>0</v>
      </c>
      <c r="H54" s="104">
        <v>0</v>
      </c>
      <c r="I54" s="9" t="str">
        <f t="shared" si="16"/>
        <v>WP Пластикова чашка для вітрифікації (10 од/уп), паков</v>
      </c>
      <c r="J54" s="171">
        <f t="shared" si="14"/>
        <v>0</v>
      </c>
      <c r="K54" s="54">
        <f>F54</f>
        <v>4.5233600000000003</v>
      </c>
    </row>
    <row r="55" spans="1:18" s="18" customFormat="1" ht="23.4" customHeight="1" x14ac:dyDescent="0.25">
      <c r="A55" s="338"/>
      <c r="B55" s="343" t="s">
        <v>16</v>
      </c>
      <c r="C55" s="344"/>
      <c r="D55" s="344"/>
      <c r="E55" s="345"/>
      <c r="F55" s="204">
        <f>F56</f>
        <v>5.2593699999999997</v>
      </c>
      <c r="G55" s="346" t="s">
        <v>16</v>
      </c>
      <c r="H55" s="344"/>
      <c r="I55" s="345"/>
      <c r="J55" s="171">
        <f t="shared" si="14"/>
        <v>-24.309229999999999</v>
      </c>
      <c r="K55" s="54">
        <f>SUM(K56:K58)</f>
        <v>29.5686</v>
      </c>
    </row>
    <row r="56" spans="1:18" s="18" customFormat="1" ht="39.75" customHeight="1" x14ac:dyDescent="0.25">
      <c r="A56" s="338"/>
      <c r="B56" s="116">
        <v>0</v>
      </c>
      <c r="C56" s="201">
        <f>F54:F56</f>
        <v>5.2593699999999997</v>
      </c>
      <c r="D56" s="9" t="s">
        <v>263</v>
      </c>
      <c r="E56" s="256">
        <v>1</v>
      </c>
      <c r="F56" s="201">
        <v>5.2593699999999997</v>
      </c>
      <c r="G56" s="104">
        <v>0</v>
      </c>
      <c r="H56" s="104">
        <v>0</v>
      </c>
      <c r="I56" s="9" t="str">
        <f t="shared" ref="I56:I58" si="19">D56</f>
        <v>SPD-30 Мікропіпетки для часткового розсічення зони пелюсіда, з кутом 30° паков</v>
      </c>
      <c r="J56" s="171">
        <f t="shared" si="14"/>
        <v>5.2593699999999997</v>
      </c>
      <c r="K56" s="54">
        <v>0</v>
      </c>
    </row>
    <row r="57" spans="1:18" s="18" customFormat="1" ht="39.75" customHeight="1" x14ac:dyDescent="0.25">
      <c r="A57" s="338"/>
      <c r="B57" s="343" t="s">
        <v>16</v>
      </c>
      <c r="C57" s="344"/>
      <c r="D57" s="344"/>
      <c r="E57" s="345"/>
      <c r="F57" s="204">
        <f>F58</f>
        <v>6.6967999999999996</v>
      </c>
      <c r="G57" s="346" t="s">
        <v>16</v>
      </c>
      <c r="H57" s="344"/>
      <c r="I57" s="345"/>
      <c r="J57" s="171">
        <f t="shared" ref="J57" si="20">F57-K57</f>
        <v>-16.175000000000001</v>
      </c>
      <c r="K57" s="54">
        <f>SUM(K58:K60)</f>
        <v>22.8718</v>
      </c>
    </row>
    <row r="58" spans="1:18" s="18" customFormat="1" ht="39.75" customHeight="1" x14ac:dyDescent="0.25">
      <c r="A58" s="338"/>
      <c r="B58" s="116">
        <v>0</v>
      </c>
      <c r="C58" s="201">
        <f t="shared" ref="C58" si="21">F56:F58</f>
        <v>6.6967999999999996</v>
      </c>
      <c r="D58" s="9" t="s">
        <v>256</v>
      </c>
      <c r="E58" s="256">
        <v>1</v>
      </c>
      <c r="F58" s="201">
        <v>6.6967999999999996</v>
      </c>
      <c r="G58" s="104">
        <v>0</v>
      </c>
      <c r="H58" s="104">
        <v>0</v>
      </c>
      <c r="I58" s="9" t="str">
        <f t="shared" si="19"/>
        <v>SIC-50W-35 Інжекторні мікропіпетки для проведення ІКСІ ID:5,0 мм/35° (паков)</v>
      </c>
      <c r="J58" s="171">
        <f t="shared" si="14"/>
        <v>0</v>
      </c>
      <c r="K58" s="54">
        <f>F58</f>
        <v>6.6967999999999996</v>
      </c>
    </row>
    <row r="59" spans="1:18" s="18" customFormat="1" ht="19.2" customHeight="1" x14ac:dyDescent="0.25">
      <c r="A59" s="338"/>
      <c r="B59" s="343" t="s">
        <v>16</v>
      </c>
      <c r="C59" s="344"/>
      <c r="D59" s="344"/>
      <c r="E59" s="345"/>
      <c r="F59" s="204">
        <f>F60+F61</f>
        <v>8.3179999999999996</v>
      </c>
      <c r="G59" s="346" t="s">
        <v>16</v>
      </c>
      <c r="H59" s="344"/>
      <c r="I59" s="345"/>
      <c r="J59" s="171">
        <f t="shared" si="14"/>
        <v>0</v>
      </c>
      <c r="K59" s="54">
        <f>SUM(K60:K61)</f>
        <v>8.3179999999999996</v>
      </c>
    </row>
    <row r="60" spans="1:18" s="18" customFormat="1" ht="30" customHeight="1" x14ac:dyDescent="0.3">
      <c r="A60" s="338"/>
      <c r="B60" s="116">
        <v>0</v>
      </c>
      <c r="C60" s="201">
        <f>F58:F60</f>
        <v>7.8570000000000002</v>
      </c>
      <c r="D60" s="9" t="s">
        <v>260</v>
      </c>
      <c r="E60" s="114">
        <v>250</v>
      </c>
      <c r="F60" s="201">
        <v>7.8570000000000002</v>
      </c>
      <c r="G60" s="104">
        <v>0</v>
      </c>
      <c r="H60" s="104">
        <v>0</v>
      </c>
      <c r="I60" s="9" t="str">
        <f t="shared" ref="I60:I61" si="22">D60</f>
        <v>OOPW-HD10 Oosafe 10мм чашка, 10 шт./уп.250 шт/ящ</v>
      </c>
      <c r="J60" s="171">
        <f t="shared" si="14"/>
        <v>0</v>
      </c>
      <c r="K60" s="54">
        <f>F60</f>
        <v>7.8570000000000002</v>
      </c>
      <c r="N60" s="59"/>
      <c r="O60" s="59"/>
      <c r="P60" s="59"/>
      <c r="Q60" s="59"/>
      <c r="R60" s="59"/>
    </row>
    <row r="61" spans="1:18" s="18" customFormat="1" ht="42.6" customHeight="1" x14ac:dyDescent="0.25">
      <c r="A61" s="338"/>
      <c r="B61" s="116">
        <v>0</v>
      </c>
      <c r="C61" s="201">
        <f t="shared" ref="C61" si="23">F60:F61</f>
        <v>0.46100000000000002</v>
      </c>
      <c r="D61" s="9" t="s">
        <v>261</v>
      </c>
      <c r="E61" s="114">
        <v>20</v>
      </c>
      <c r="F61" s="201">
        <v>0.46100000000000002</v>
      </c>
      <c r="G61" s="104">
        <v>0</v>
      </c>
      <c r="H61" s="104">
        <v>0</v>
      </c>
      <c r="I61" s="9" t="str">
        <f t="shared" si="22"/>
        <v>OOPW-ІС06 Oosafe 50 мм чашка, тонка стінка, необроблена поверхність 10шт/уп. 500шт/ящ</v>
      </c>
      <c r="J61" s="171">
        <f>F61-K61</f>
        <v>0</v>
      </c>
      <c r="K61" s="54">
        <f>F61</f>
        <v>0.46100000000000002</v>
      </c>
    </row>
    <row r="62" spans="1:18" s="18" customFormat="1" ht="17.399999999999999" customHeight="1" x14ac:dyDescent="0.25">
      <c r="A62" s="338"/>
      <c r="B62" s="343" t="s">
        <v>16</v>
      </c>
      <c r="C62" s="344"/>
      <c r="D62" s="344"/>
      <c r="E62" s="345"/>
      <c r="F62" s="204">
        <f>F63+F64</f>
        <v>17.926690000000001</v>
      </c>
      <c r="G62" s="346" t="s">
        <v>16</v>
      </c>
      <c r="H62" s="344"/>
      <c r="I62" s="345"/>
      <c r="J62" s="165">
        <f>J63+J64</f>
        <v>9.5352299999999985</v>
      </c>
      <c r="K62" s="54">
        <f>SUM(K63:K64)</f>
        <v>8.3914600000000004</v>
      </c>
    </row>
    <row r="63" spans="1:18" s="18" customFormat="1" ht="30" customHeight="1" x14ac:dyDescent="0.25">
      <c r="A63" s="338"/>
      <c r="B63" s="227"/>
      <c r="C63" s="222">
        <f>F60:F63</f>
        <v>11.25629</v>
      </c>
      <c r="D63" s="9" t="s">
        <v>263</v>
      </c>
      <c r="E63" s="259">
        <v>2</v>
      </c>
      <c r="F63" s="201">
        <v>11.25629</v>
      </c>
      <c r="G63" s="226"/>
      <c r="H63" s="226"/>
      <c r="I63" s="9" t="str">
        <f t="shared" ref="I63:I101" si="24">D63</f>
        <v>SPD-30 Мікропіпетки для часткового розсічення зони пелюсіда, з кутом 30° паков</v>
      </c>
      <c r="J63" s="171">
        <f>F63-K63</f>
        <v>2.9326799999999995</v>
      </c>
      <c r="K63" s="54">
        <v>8.3236100000000004</v>
      </c>
    </row>
    <row r="64" spans="1:18" s="18" customFormat="1" ht="27.6" x14ac:dyDescent="0.3">
      <c r="A64" s="338"/>
      <c r="B64" s="116">
        <v>0</v>
      </c>
      <c r="C64" s="201">
        <f>F61:F64</f>
        <v>6.6703999999999999</v>
      </c>
      <c r="D64" s="9" t="s">
        <v>256</v>
      </c>
      <c r="E64" s="114">
        <v>1</v>
      </c>
      <c r="F64" s="201">
        <v>6.6703999999999999</v>
      </c>
      <c r="G64" s="104">
        <v>0</v>
      </c>
      <c r="H64" s="104">
        <v>0</v>
      </c>
      <c r="I64" s="9" t="str">
        <f t="shared" si="24"/>
        <v>SIC-50W-35 Інжекторні мікропіпетки для проведення ІКСІ ID:5,0 мм/35° (паков)</v>
      </c>
      <c r="J64" s="171">
        <f>F64-K64</f>
        <v>6.6025499999999999</v>
      </c>
      <c r="K64" s="54">
        <v>6.7849999999999994E-2</v>
      </c>
      <c r="N64" s="59"/>
      <c r="O64" s="59"/>
      <c r="P64" s="59"/>
      <c r="Q64" s="59"/>
      <c r="R64" s="59"/>
    </row>
    <row r="65" spans="1:18" s="18" customFormat="1" ht="20.399999999999999" customHeight="1" x14ac:dyDescent="0.25">
      <c r="A65" s="338"/>
      <c r="B65" s="343" t="s">
        <v>16</v>
      </c>
      <c r="C65" s="344"/>
      <c r="D65" s="344"/>
      <c r="E65" s="345"/>
      <c r="F65" s="204">
        <f>F66+F67+F68</f>
        <v>10.17047</v>
      </c>
      <c r="G65" s="346" t="s">
        <v>16</v>
      </c>
      <c r="H65" s="344"/>
      <c r="I65" s="345"/>
      <c r="J65" s="165">
        <f>J66+J67+J68</f>
        <v>4.5171100000000006</v>
      </c>
      <c r="K65" s="54">
        <f>SUM(K66:K68)</f>
        <v>5.6533599999999993</v>
      </c>
    </row>
    <row r="66" spans="1:18" s="18" customFormat="1" ht="41.4" x14ac:dyDescent="0.25">
      <c r="A66" s="338"/>
      <c r="B66" s="116">
        <v>0</v>
      </c>
      <c r="C66" s="201">
        <f>F64:F66</f>
        <v>3.1434500000000001</v>
      </c>
      <c r="D66" s="9" t="s">
        <v>275</v>
      </c>
      <c r="E66" s="256">
        <v>1</v>
      </c>
      <c r="F66" s="201">
        <v>3.1434500000000001</v>
      </c>
      <c r="G66" s="104">
        <v>0</v>
      </c>
      <c r="H66" s="104">
        <v>0</v>
      </c>
      <c r="I66" s="9" t="str">
        <f t="shared" si="24"/>
        <v xml:space="preserve">OODH-1000 Дезінфектант Oosafe для СО2 інкубаторіі і витяжних шаф з ламінарним потоком, 1л </v>
      </c>
      <c r="J66" s="171">
        <f>F66-K66</f>
        <v>3.1434500000000001</v>
      </c>
      <c r="K66" s="54">
        <v>0</v>
      </c>
    </row>
    <row r="67" spans="1:18" s="18" customFormat="1" ht="61.2" customHeight="1" x14ac:dyDescent="0.25">
      <c r="A67" s="338"/>
      <c r="B67" s="116">
        <v>0</v>
      </c>
      <c r="C67" s="201">
        <f t="shared" ref="C67:C68" si="25">F66:F67</f>
        <v>0.99792000000000003</v>
      </c>
      <c r="D67" s="9" t="s">
        <v>274</v>
      </c>
      <c r="E67" s="256">
        <v>30</v>
      </c>
      <c r="F67" s="201">
        <v>0.99792000000000003</v>
      </c>
      <c r="G67" s="104">
        <v>0</v>
      </c>
      <c r="H67" s="104">
        <v>0</v>
      </c>
      <c r="I67" s="9" t="str">
        <f t="shared" si="24"/>
        <v>OOPW-CW05 Oosafe 10мм чашка з центральною лункою з 2 відділеннями, 1з площею для маркування 10 шт./уп. 500 шт/ящ</v>
      </c>
      <c r="J67" s="77">
        <f t="shared" ref="J67:J74" si="26">F67-K67</f>
        <v>-2.2666399999999998</v>
      </c>
      <c r="K67" s="54">
        <v>3.2645599999999999</v>
      </c>
    </row>
    <row r="68" spans="1:18" s="18" customFormat="1" ht="42" customHeight="1" x14ac:dyDescent="0.25">
      <c r="A68" s="338"/>
      <c r="B68" s="116">
        <v>0</v>
      </c>
      <c r="C68" s="201">
        <f t="shared" si="25"/>
        <v>6.0290999999999997</v>
      </c>
      <c r="D68" s="9" t="s">
        <v>276</v>
      </c>
      <c r="E68" s="256">
        <v>1</v>
      </c>
      <c r="F68" s="201">
        <v>6.0290999999999997</v>
      </c>
      <c r="G68" s="104">
        <v>0</v>
      </c>
      <c r="H68" s="104">
        <v>0</v>
      </c>
      <c r="I68" s="9" t="str">
        <f t="shared" si="24"/>
        <v>OODSF-02000 Дезінфектант Oosafe для лабораторних поверхонь2л</v>
      </c>
      <c r="J68" s="77">
        <f t="shared" si="26"/>
        <v>3.6402999999999999</v>
      </c>
      <c r="K68" s="54">
        <v>2.3887999999999998</v>
      </c>
    </row>
    <row r="69" spans="1:18" s="18" customFormat="1" ht="19.2" customHeight="1" x14ac:dyDescent="0.25">
      <c r="A69" s="338"/>
      <c r="B69" s="343" t="s">
        <v>16</v>
      </c>
      <c r="C69" s="344"/>
      <c r="D69" s="344"/>
      <c r="E69" s="345"/>
      <c r="F69" s="204">
        <f>F70+F71+F72</f>
        <v>42.240879999999997</v>
      </c>
      <c r="G69" s="346" t="s">
        <v>16</v>
      </c>
      <c r="H69" s="344"/>
      <c r="I69" s="345"/>
      <c r="J69" s="173">
        <f t="shared" si="26"/>
        <v>31.535679999999999</v>
      </c>
      <c r="K69" s="54">
        <f>SUM(K72)</f>
        <v>10.7052</v>
      </c>
    </row>
    <row r="70" spans="1:18" s="18" customFormat="1" ht="66.599999999999994" customHeight="1" x14ac:dyDescent="0.25">
      <c r="A70" s="338"/>
      <c r="B70" s="116">
        <v>0</v>
      </c>
      <c r="C70" s="201">
        <f t="shared" ref="C70:C72" si="27">F69:F70</f>
        <v>21.053529999999999</v>
      </c>
      <c r="D70" s="30" t="s">
        <v>255</v>
      </c>
      <c r="E70" s="260">
        <v>20</v>
      </c>
      <c r="F70" s="201">
        <v>21.053529999999999</v>
      </c>
      <c r="G70" s="104">
        <v>0</v>
      </c>
      <c r="H70" s="104">
        <v>0</v>
      </c>
      <c r="I70" s="9" t="str">
        <f t="shared" ref="I70:I72" si="28">D70</f>
        <v>K-JETS-7019-ЕТ Вигнутий катетер для переносу ембріонів, трансферний катетер 2.8Fr-24cm та навігаційний катетер 6.6Fr-17.3cm, шт</v>
      </c>
      <c r="J70" s="171">
        <f>F70-K70</f>
        <v>0</v>
      </c>
      <c r="K70" s="54">
        <f>F70</f>
        <v>21.053529999999999</v>
      </c>
    </row>
    <row r="71" spans="1:18" s="18" customFormat="1" ht="66.599999999999994" customHeight="1" thickBot="1" x14ac:dyDescent="0.3">
      <c r="A71" s="338"/>
      <c r="B71" s="117"/>
      <c r="C71" s="201">
        <f t="shared" si="27"/>
        <v>10.482150000000001</v>
      </c>
      <c r="D71" s="258" t="s">
        <v>277</v>
      </c>
      <c r="E71" s="261">
        <v>10</v>
      </c>
      <c r="F71" s="180">
        <v>10.482150000000001</v>
      </c>
      <c r="G71" s="105"/>
      <c r="H71" s="105"/>
      <c r="I71" s="9" t="str">
        <f t="shared" si="28"/>
        <v>K-OSN-1730 -B-90 Однопросвітнаголка для збору ооцитів17g 30см ЕСНО типом, аспіраційна лінія 90см</v>
      </c>
      <c r="J71" s="175"/>
      <c r="K71" s="87"/>
    </row>
    <row r="72" spans="1:18" s="18" customFormat="1" ht="63" thickBot="1" x14ac:dyDescent="0.3">
      <c r="A72" s="338"/>
      <c r="B72" s="118">
        <v>0</v>
      </c>
      <c r="C72" s="201">
        <f t="shared" si="27"/>
        <v>10.7052</v>
      </c>
      <c r="D72" s="168" t="s">
        <v>410</v>
      </c>
      <c r="E72" s="262">
        <v>2</v>
      </c>
      <c r="F72" s="205">
        <v>10.7052</v>
      </c>
      <c r="G72" s="113">
        <v>0</v>
      </c>
      <c r="H72" s="113">
        <v>0</v>
      </c>
      <c r="I72" s="21" t="str">
        <f t="shared" si="28"/>
        <v>K-НРІР-1035 Холдінгові мікропіпетки для проведення ІКСІ вн. діаметр 17µm зовнішний діаметр 80 µm та кутом 35 градусів 10 одиниць в упаковці</v>
      </c>
      <c r="J72" s="174">
        <f>F72-K72</f>
        <v>0</v>
      </c>
      <c r="K72" s="53">
        <f>F72</f>
        <v>10.7052</v>
      </c>
    </row>
    <row r="73" spans="1:18" s="18" customFormat="1" ht="22.2" customHeight="1" x14ac:dyDescent="0.25">
      <c r="A73" s="338"/>
      <c r="B73" s="366" t="s">
        <v>16</v>
      </c>
      <c r="C73" s="364"/>
      <c r="D73" s="364"/>
      <c r="E73" s="365"/>
      <c r="F73" s="204">
        <f>F74+F75</f>
        <v>18.578520000000001</v>
      </c>
      <c r="G73" s="363" t="s">
        <v>16</v>
      </c>
      <c r="H73" s="364"/>
      <c r="I73" s="365"/>
      <c r="J73" s="173">
        <f t="shared" si="26"/>
        <v>-260.96648999999996</v>
      </c>
      <c r="K73" s="54">
        <f>SUM(K74:K101)</f>
        <v>279.54500999999999</v>
      </c>
    </row>
    <row r="74" spans="1:18" ht="52.5" customHeight="1" x14ac:dyDescent="0.25">
      <c r="A74" s="338"/>
      <c r="B74" s="116">
        <v>0</v>
      </c>
      <c r="C74" s="201">
        <f>F72:F74</f>
        <v>8.0388000000000002</v>
      </c>
      <c r="D74" s="30" t="s">
        <v>36</v>
      </c>
      <c r="E74" s="260">
        <v>1</v>
      </c>
      <c r="F74" s="201">
        <v>8.0388000000000002</v>
      </c>
      <c r="G74" s="104">
        <v>0</v>
      </c>
      <c r="H74" s="104">
        <v>0</v>
      </c>
      <c r="I74" s="9" t="str">
        <f t="shared" si="24"/>
        <v>K-FPIP-1300-10BS-5 Піпетки для денудації 300 мікрон 5 туб по 10 піпеток (50од./уп.), паков</v>
      </c>
      <c r="J74" s="171">
        <f t="shared" si="26"/>
        <v>1.8461600000000002</v>
      </c>
      <c r="K74" s="54">
        <v>6.1926399999999999</v>
      </c>
    </row>
    <row r="75" spans="1:18" ht="63" customHeight="1" x14ac:dyDescent="0.3">
      <c r="A75" s="338"/>
      <c r="B75" s="116">
        <v>0</v>
      </c>
      <c r="C75" s="201">
        <f>F74:F75</f>
        <v>10.539720000000001</v>
      </c>
      <c r="D75" s="30" t="s">
        <v>31</v>
      </c>
      <c r="E75" s="260">
        <v>10</v>
      </c>
      <c r="F75" s="201">
        <v>10.539720000000001</v>
      </c>
      <c r="G75" s="104">
        <v>0</v>
      </c>
      <c r="H75" s="104">
        <v>0</v>
      </c>
      <c r="I75" s="9" t="str">
        <f t="shared" si="24"/>
        <v>K-JETS-7019 Вигнутий катетер для переносу ембріонів, трансферний катетер 2.8Fr-24cm та навігаційний катетер 6.6Fr-17.3cm, шт</v>
      </c>
      <c r="J75" s="171">
        <f>F75-K75</f>
        <v>6.6546400000000006</v>
      </c>
      <c r="K75" s="54">
        <v>3.8850799999999999</v>
      </c>
      <c r="N75" s="59"/>
      <c r="O75" s="59"/>
      <c r="P75" s="59"/>
      <c r="Q75" s="59"/>
      <c r="R75" s="59"/>
    </row>
    <row r="76" spans="1:18" ht="30" customHeight="1" x14ac:dyDescent="0.3">
      <c r="A76" s="338"/>
      <c r="B76" s="343" t="s">
        <v>16</v>
      </c>
      <c r="C76" s="344"/>
      <c r="D76" s="344"/>
      <c r="E76" s="345"/>
      <c r="F76" s="204">
        <f>F77</f>
        <v>0.25627</v>
      </c>
      <c r="G76" s="346" t="s">
        <v>16</v>
      </c>
      <c r="H76" s="344"/>
      <c r="I76" s="345"/>
      <c r="J76" s="173">
        <f t="shared" ref="J76" si="29">F76-K76</f>
        <v>-105.00648999999999</v>
      </c>
      <c r="K76" s="54">
        <f>SUM(K83:K102)</f>
        <v>105.26275999999999</v>
      </c>
      <c r="N76" s="59"/>
      <c r="O76" s="59"/>
      <c r="P76" s="59"/>
      <c r="Q76" s="59"/>
      <c r="R76" s="59"/>
    </row>
    <row r="77" spans="1:18" ht="34.200000000000003" customHeight="1" x14ac:dyDescent="0.3">
      <c r="A77" s="338"/>
      <c r="B77" s="230"/>
      <c r="C77" s="201">
        <f>F76:F77</f>
        <v>0.25627</v>
      </c>
      <c r="D77" s="30" t="s">
        <v>278</v>
      </c>
      <c r="E77" s="231">
        <v>2</v>
      </c>
      <c r="F77" s="232">
        <v>0.25627</v>
      </c>
      <c r="G77" s="231"/>
      <c r="H77" s="231"/>
      <c r="I77" s="9" t="str">
        <f t="shared" si="24"/>
        <v>Пклюшки гігеничні поглинаючи 90*60 №10 IGAR</v>
      </c>
      <c r="J77" s="173"/>
      <c r="K77" s="54"/>
      <c r="N77" s="59"/>
      <c r="O77" s="59"/>
      <c r="P77" s="59"/>
      <c r="Q77" s="59"/>
      <c r="R77" s="59"/>
    </row>
    <row r="78" spans="1:18" ht="22.2" customHeight="1" x14ac:dyDescent="0.3">
      <c r="A78" s="338"/>
      <c r="B78" s="343" t="s">
        <v>16</v>
      </c>
      <c r="C78" s="344"/>
      <c r="D78" s="344"/>
      <c r="E78" s="345"/>
      <c r="F78" s="204">
        <f>F79</f>
        <v>0.93303999999999998</v>
      </c>
      <c r="G78" s="346" t="s">
        <v>16</v>
      </c>
      <c r="H78" s="344"/>
      <c r="I78" s="345"/>
      <c r="J78" s="173">
        <f t="shared" ref="J78" si="30">F78-K78</f>
        <v>-51.698339999999995</v>
      </c>
      <c r="K78" s="54">
        <f>SUM(K85:K103)</f>
        <v>52.631379999999993</v>
      </c>
      <c r="N78" s="59"/>
      <c r="O78" s="59"/>
      <c r="P78" s="59"/>
      <c r="Q78" s="59"/>
      <c r="R78" s="59"/>
    </row>
    <row r="79" spans="1:18" ht="51.6" customHeight="1" x14ac:dyDescent="0.3">
      <c r="A79" s="338"/>
      <c r="B79" s="230"/>
      <c r="C79" s="201">
        <f>F78:F79</f>
        <v>0.93303999999999998</v>
      </c>
      <c r="D79" s="30" t="s">
        <v>279</v>
      </c>
      <c r="E79" s="231">
        <v>4</v>
      </c>
      <c r="F79" s="232">
        <v>0.93303999999999998</v>
      </c>
      <c r="G79" s="231"/>
      <c r="H79" s="231"/>
      <c r="I79" s="9" t="str">
        <f t="shared" si="24"/>
        <v>Наконечник до піпет-дозатора 200мкл. універсальний, з фільтром, стерильний (96шт в штативі)</v>
      </c>
      <c r="J79" s="173"/>
      <c r="K79" s="54"/>
      <c r="N79" s="59"/>
      <c r="O79" s="59"/>
      <c r="P79" s="59"/>
      <c r="Q79" s="59"/>
      <c r="R79" s="59"/>
    </row>
    <row r="80" spans="1:18" ht="22.2" customHeight="1" x14ac:dyDescent="0.3">
      <c r="A80" s="338"/>
      <c r="B80" s="343" t="s">
        <v>16</v>
      </c>
      <c r="C80" s="344"/>
      <c r="D80" s="344"/>
      <c r="E80" s="345"/>
      <c r="F80" s="204">
        <f>F81+F82</f>
        <v>2.5905399999999998</v>
      </c>
      <c r="G80" s="346" t="s">
        <v>16</v>
      </c>
      <c r="H80" s="344"/>
      <c r="I80" s="345"/>
      <c r="J80" s="173">
        <f t="shared" ref="J80" si="31">F80-K80</f>
        <v>-3.7198500000000001</v>
      </c>
      <c r="K80" s="54">
        <f>SUM(K101:K105)</f>
        <v>6.3103899999999999</v>
      </c>
      <c r="N80" s="59"/>
      <c r="O80" s="59"/>
      <c r="P80" s="59"/>
      <c r="Q80" s="59"/>
      <c r="R80" s="59"/>
    </row>
    <row r="81" spans="1:18" ht="36" customHeight="1" x14ac:dyDescent="0.3">
      <c r="A81" s="338"/>
      <c r="B81" s="230"/>
      <c r="C81" s="201">
        <f>F80:F81</f>
        <v>0.27094000000000001</v>
      </c>
      <c r="D81" s="30" t="s">
        <v>280</v>
      </c>
      <c r="E81" s="231">
        <v>2</v>
      </c>
      <c r="F81" s="232">
        <v>0.27094000000000001</v>
      </c>
      <c r="G81" s="231"/>
      <c r="H81" s="231"/>
      <c r="I81" s="9" t="str">
        <f t="shared" si="24"/>
        <v>Чашка ICSI для IVF, 150265 (зшт/уп) Nunc, уп.3 шт</v>
      </c>
      <c r="J81" s="173"/>
      <c r="K81" s="54"/>
      <c r="N81" s="59"/>
      <c r="O81" s="59"/>
      <c r="P81" s="59"/>
      <c r="Q81" s="59"/>
      <c r="R81" s="59"/>
    </row>
    <row r="82" spans="1:18" ht="33.6" customHeight="1" x14ac:dyDescent="0.3">
      <c r="A82" s="338"/>
      <c r="B82" s="230"/>
      <c r="C82" s="201">
        <f>F81:F82</f>
        <v>2.3195999999999999</v>
      </c>
      <c r="D82" s="30" t="s">
        <v>281</v>
      </c>
      <c r="E82" s="231">
        <v>1</v>
      </c>
      <c r="F82" s="232">
        <v>2.3195999999999999</v>
      </c>
      <c r="G82" s="231"/>
      <c r="H82" s="231"/>
      <c r="I82" s="9" t="str">
        <f t="shared" si="24"/>
        <v>MOHVD-100-Масло для культивування ембріонів (важке), скло, 10мл. фл. 100мл.</v>
      </c>
      <c r="J82" s="173"/>
      <c r="K82" s="54"/>
      <c r="N82" s="59"/>
      <c r="O82" s="59"/>
      <c r="P82" s="59"/>
      <c r="Q82" s="59"/>
      <c r="R82" s="59"/>
    </row>
    <row r="83" spans="1:18" ht="21" customHeight="1" x14ac:dyDescent="0.3">
      <c r="A83" s="338"/>
      <c r="B83" s="343" t="s">
        <v>16</v>
      </c>
      <c r="C83" s="344"/>
      <c r="D83" s="344"/>
      <c r="E83" s="345"/>
      <c r="F83" s="204">
        <f>F84+F85+F86+F87</f>
        <v>65.96271999999999</v>
      </c>
      <c r="G83" s="346" t="s">
        <v>16</v>
      </c>
      <c r="H83" s="344"/>
      <c r="I83" s="345"/>
      <c r="J83" s="173">
        <f t="shared" ref="J83" si="32">F83-K83</f>
        <v>13.331339999999997</v>
      </c>
      <c r="K83" s="54">
        <f>SUM(K85:K103)</f>
        <v>52.631379999999993</v>
      </c>
      <c r="N83" s="59"/>
      <c r="O83" s="59"/>
      <c r="P83" s="59"/>
      <c r="Q83" s="59"/>
      <c r="R83" s="59"/>
    </row>
    <row r="84" spans="1:18" ht="48.6" customHeight="1" x14ac:dyDescent="0.3">
      <c r="A84" s="338"/>
      <c r="B84" s="230"/>
      <c r="C84" s="201">
        <f>F83:F84</f>
        <v>8.0388000000000002</v>
      </c>
      <c r="D84" s="30" t="s">
        <v>36</v>
      </c>
      <c r="E84" s="231">
        <v>1</v>
      </c>
      <c r="F84" s="232">
        <v>8.0388000000000002</v>
      </c>
      <c r="G84" s="231"/>
      <c r="H84" s="231"/>
      <c r="I84" s="30" t="str">
        <f t="shared" si="24"/>
        <v>K-FPIP-1300-10BS-5 Піпетки для денудації 300 мікрон 5 туб по 10 піпеток (50од./уп.), паков</v>
      </c>
      <c r="J84" s="173"/>
      <c r="K84" s="54"/>
      <c r="N84" s="59"/>
      <c r="O84" s="59"/>
      <c r="P84" s="59"/>
      <c r="Q84" s="59"/>
      <c r="R84" s="59"/>
    </row>
    <row r="85" spans="1:18" ht="64.8" customHeight="1" x14ac:dyDescent="0.3">
      <c r="A85" s="338"/>
      <c r="B85" s="117"/>
      <c r="C85" s="201">
        <f>F75:F85</f>
        <v>21.079429999999999</v>
      </c>
      <c r="D85" s="30" t="s">
        <v>31</v>
      </c>
      <c r="E85" s="261">
        <v>20</v>
      </c>
      <c r="F85" s="180">
        <v>21.079429999999999</v>
      </c>
      <c r="G85" s="105"/>
      <c r="H85" s="105"/>
      <c r="I85" s="9" t="s">
        <v>37</v>
      </c>
      <c r="J85" s="171">
        <f>F85-K85</f>
        <v>0</v>
      </c>
      <c r="K85" s="54">
        <f>F85</f>
        <v>21.079429999999999</v>
      </c>
      <c r="N85" s="59"/>
      <c r="O85" s="59"/>
      <c r="P85" s="59"/>
      <c r="Q85" s="59"/>
      <c r="R85" s="59"/>
    </row>
    <row r="86" spans="1:18" ht="51" customHeight="1" thickBot="1" x14ac:dyDescent="0.35">
      <c r="A86" s="338"/>
      <c r="B86" s="117"/>
      <c r="C86" s="201">
        <f>F85:F86</f>
        <v>31.485289999999999</v>
      </c>
      <c r="D86" s="258" t="s">
        <v>277</v>
      </c>
      <c r="E86" s="261">
        <v>30</v>
      </c>
      <c r="F86" s="180">
        <v>31.485289999999999</v>
      </c>
      <c r="G86" s="105"/>
      <c r="H86" s="105"/>
      <c r="I86" s="9" t="s">
        <v>37</v>
      </c>
      <c r="J86" s="175"/>
      <c r="K86" s="87"/>
      <c r="N86" s="59"/>
      <c r="O86" s="59"/>
      <c r="P86" s="59"/>
      <c r="Q86" s="59"/>
      <c r="R86" s="59"/>
    </row>
    <row r="87" spans="1:18" ht="66" customHeight="1" thickBot="1" x14ac:dyDescent="0.35">
      <c r="A87" s="338"/>
      <c r="B87" s="118">
        <v>0</v>
      </c>
      <c r="C87" s="205">
        <f>F67:F87</f>
        <v>5.3592000000000004</v>
      </c>
      <c r="D87" s="168" t="s">
        <v>411</v>
      </c>
      <c r="E87" s="262">
        <v>1</v>
      </c>
      <c r="F87" s="205">
        <v>5.3592000000000004</v>
      </c>
      <c r="G87" s="113">
        <v>0</v>
      </c>
      <c r="H87" s="113">
        <v>0</v>
      </c>
      <c r="I87" s="9" t="str">
        <f t="shared" ref="I87:I100" si="33">D87</f>
        <v>K-НПІП-1035 Холдінгові мікропіпетки для проведення ІКСІ вн. Діаметр 17µm зовнішний діаметр 80µm та кутом 35 градусів 10 одиниць в упаковці</v>
      </c>
      <c r="J87" s="174">
        <f>F87-K87</f>
        <v>-0.95118999999999954</v>
      </c>
      <c r="K87" s="53">
        <v>6.3103899999999999</v>
      </c>
      <c r="N87" s="59"/>
      <c r="O87" s="59"/>
      <c r="P87" s="59"/>
      <c r="Q87" s="59"/>
      <c r="R87" s="59"/>
    </row>
    <row r="88" spans="1:18" ht="22.2" customHeight="1" x14ac:dyDescent="0.3">
      <c r="A88" s="338"/>
      <c r="B88" s="343" t="s">
        <v>16</v>
      </c>
      <c r="C88" s="344"/>
      <c r="D88" s="344"/>
      <c r="E88" s="345"/>
      <c r="F88" s="204">
        <f>F89+F90</f>
        <v>15.86</v>
      </c>
      <c r="G88" s="346" t="s">
        <v>16</v>
      </c>
      <c r="H88" s="344"/>
      <c r="I88" s="345"/>
      <c r="J88" s="173">
        <f t="shared" ref="J88" si="34">F88-K88</f>
        <v>3.2392199999999995</v>
      </c>
      <c r="K88" s="54">
        <f>SUM(K90:K108)</f>
        <v>12.62078</v>
      </c>
      <c r="N88" s="59"/>
      <c r="O88" s="59"/>
      <c r="P88" s="59"/>
      <c r="Q88" s="59"/>
      <c r="R88" s="59"/>
    </row>
    <row r="89" spans="1:18" ht="60" customHeight="1" thickBot="1" x14ac:dyDescent="0.35">
      <c r="A89" s="338"/>
      <c r="B89" s="117"/>
      <c r="C89" s="205">
        <f>F69:F89</f>
        <v>10.513999999999999</v>
      </c>
      <c r="D89" s="30" t="s">
        <v>31</v>
      </c>
      <c r="E89" s="261">
        <v>10</v>
      </c>
      <c r="F89" s="180">
        <v>10.513999999999999</v>
      </c>
      <c r="G89" s="105"/>
      <c r="H89" s="105"/>
      <c r="I89" s="9" t="str">
        <f t="shared" si="33"/>
        <v>K-JETS-7019 Вигнутий катетер для переносу ембріонів, трансферний катетер 2.8Fr-24cm та навігаційний катетер 6.6Fr-17.3cm, шт</v>
      </c>
      <c r="J89" s="175"/>
      <c r="K89" s="87"/>
      <c r="N89" s="59"/>
      <c r="O89" s="59"/>
      <c r="P89" s="59"/>
      <c r="Q89" s="59"/>
      <c r="R89" s="59"/>
    </row>
    <row r="90" spans="1:18" ht="73.8" customHeight="1" thickBot="1" x14ac:dyDescent="0.35">
      <c r="A90" s="338"/>
      <c r="B90" s="117"/>
      <c r="C90" s="205">
        <f>F70:F90</f>
        <v>5.3460000000000001</v>
      </c>
      <c r="D90" s="168" t="s">
        <v>411</v>
      </c>
      <c r="E90" s="261">
        <v>1</v>
      </c>
      <c r="F90" s="180">
        <v>5.3460000000000001</v>
      </c>
      <c r="G90" s="105"/>
      <c r="H90" s="105"/>
      <c r="I90" s="9" t="str">
        <f t="shared" si="33"/>
        <v>K-НПІП-1035 Холдінгові мікропіпетки для проведення ІКСІ вн. Діаметр 17µm зовнішний діаметр 80µm та кутом 35 градусів 10 одиниць в упаковці</v>
      </c>
      <c r="J90" s="175"/>
      <c r="K90" s="87"/>
      <c r="N90" s="59"/>
      <c r="O90" s="59"/>
      <c r="P90" s="59"/>
      <c r="Q90" s="59"/>
      <c r="R90" s="59"/>
    </row>
    <row r="91" spans="1:18" ht="26.4" customHeight="1" x14ac:dyDescent="0.3">
      <c r="A91" s="338"/>
      <c r="B91" s="343" t="s">
        <v>16</v>
      </c>
      <c r="C91" s="344"/>
      <c r="D91" s="344"/>
      <c r="E91" s="345"/>
      <c r="F91" s="204">
        <f>F92+F93+F94</f>
        <v>53.089000000000006</v>
      </c>
      <c r="G91" s="346" t="s">
        <v>16</v>
      </c>
      <c r="H91" s="344"/>
      <c r="I91" s="345"/>
      <c r="J91" s="173">
        <f t="shared" ref="J91" si="35">F91-K91</f>
        <v>46.778610000000008</v>
      </c>
      <c r="K91" s="54">
        <f>SUM(K99:K111)</f>
        <v>6.3103899999999999</v>
      </c>
      <c r="N91" s="59"/>
      <c r="O91" s="59"/>
      <c r="P91" s="59"/>
      <c r="Q91" s="59"/>
      <c r="R91" s="59"/>
    </row>
    <row r="92" spans="1:18" ht="32.4" customHeight="1" thickBot="1" x14ac:dyDescent="0.35">
      <c r="A92" s="338"/>
      <c r="B92" s="238"/>
      <c r="C92" s="205">
        <f>F72:F92</f>
        <v>16.195</v>
      </c>
      <c r="D92" s="9" t="s">
        <v>188</v>
      </c>
      <c r="E92" s="240">
        <v>2</v>
      </c>
      <c r="F92" s="232">
        <v>16.195</v>
      </c>
      <c r="G92" s="241"/>
      <c r="H92" s="239"/>
      <c r="I92" s="9" t="str">
        <f t="shared" si="33"/>
        <v xml:space="preserve">205 Середовища для розморожування (середовища 14,4мл) </v>
      </c>
      <c r="J92" s="242"/>
      <c r="K92" s="87"/>
      <c r="N92" s="59"/>
      <c r="O92" s="59"/>
      <c r="P92" s="59"/>
      <c r="Q92" s="59"/>
      <c r="R92" s="59"/>
    </row>
    <row r="93" spans="1:18" ht="33" customHeight="1" thickBot="1" x14ac:dyDescent="0.35">
      <c r="A93" s="338"/>
      <c r="B93" s="238"/>
      <c r="C93" s="205">
        <f t="shared" ref="C93:C100" si="36">F73:F93</f>
        <v>32.389000000000003</v>
      </c>
      <c r="D93" s="30" t="s">
        <v>259</v>
      </c>
      <c r="E93" s="240">
        <v>5</v>
      </c>
      <c r="F93" s="232">
        <v>32.389000000000003</v>
      </c>
      <c r="G93" s="241"/>
      <c r="H93" s="239"/>
      <c r="I93" s="9" t="str">
        <f t="shared" si="33"/>
        <v>CR Соломинидля вітрифікації (заморожування) Cryotec (10од/уп)</v>
      </c>
      <c r="J93" s="242"/>
      <c r="K93" s="87"/>
      <c r="N93" s="59"/>
      <c r="O93" s="59"/>
      <c r="P93" s="59"/>
      <c r="Q93" s="59"/>
      <c r="R93" s="59"/>
    </row>
    <row r="94" spans="1:18" ht="35.4" customHeight="1" thickBot="1" x14ac:dyDescent="0.35">
      <c r="A94" s="338"/>
      <c r="B94" s="238"/>
      <c r="C94" s="205">
        <f t="shared" si="36"/>
        <v>4.5049999999999999</v>
      </c>
      <c r="D94" s="9" t="s">
        <v>28</v>
      </c>
      <c r="E94" s="240">
        <v>1</v>
      </c>
      <c r="F94" s="232">
        <v>4.5049999999999999</v>
      </c>
      <c r="G94" s="241"/>
      <c r="H94" s="239"/>
      <c r="I94" s="9" t="str">
        <f t="shared" si="33"/>
        <v>WP Пластикова чашка для вітрифікації (10 од/уп), паков</v>
      </c>
      <c r="J94" s="242"/>
      <c r="K94" s="87"/>
      <c r="N94" s="59"/>
      <c r="O94" s="59"/>
      <c r="P94" s="59"/>
      <c r="Q94" s="59"/>
      <c r="R94" s="59"/>
    </row>
    <row r="95" spans="1:18" ht="21.6" customHeight="1" x14ac:dyDescent="0.3">
      <c r="A95" s="338"/>
      <c r="B95" s="343" t="s">
        <v>16</v>
      </c>
      <c r="C95" s="344"/>
      <c r="D95" s="344"/>
      <c r="E95" s="345"/>
      <c r="F95" s="204">
        <f>F96+F97+F98+F99+F100+F101</f>
        <v>38.046999999999997</v>
      </c>
      <c r="G95" s="346" t="s">
        <v>16</v>
      </c>
      <c r="H95" s="344"/>
      <c r="I95" s="345"/>
      <c r="J95" s="173">
        <f t="shared" ref="J95" si="37">F95-K95</f>
        <v>38.046999999999997</v>
      </c>
      <c r="K95" s="54">
        <f>SUM(K103:K115)</f>
        <v>0</v>
      </c>
      <c r="N95" s="59"/>
      <c r="O95" s="59"/>
      <c r="P95" s="59"/>
      <c r="Q95" s="59"/>
      <c r="R95" s="59"/>
    </row>
    <row r="96" spans="1:18" ht="30.6" customHeight="1" thickBot="1" x14ac:dyDescent="0.35">
      <c r="A96" s="338"/>
      <c r="B96" s="238"/>
      <c r="C96" s="205">
        <f t="shared" si="36"/>
        <v>6.5810000000000004</v>
      </c>
      <c r="D96" s="30" t="s">
        <v>408</v>
      </c>
      <c r="E96" s="240">
        <v>2</v>
      </c>
      <c r="F96" s="232">
        <v>6.5810000000000004</v>
      </c>
      <c r="G96" s="241"/>
      <c r="H96" s="239"/>
      <c r="I96" s="9" t="str">
        <f t="shared" si="33"/>
        <v>Середовище культуральне UTM™ Transfer Medium, with phenol red 10 ml, паков</v>
      </c>
      <c r="J96" s="242"/>
      <c r="K96" s="87"/>
      <c r="N96" s="59"/>
      <c r="O96" s="59"/>
      <c r="P96" s="59"/>
      <c r="Q96" s="59"/>
      <c r="R96" s="59"/>
    </row>
    <row r="97" spans="1:19" ht="30.6" customHeight="1" thickBot="1" x14ac:dyDescent="0.35">
      <c r="A97" s="338"/>
      <c r="B97" s="238"/>
      <c r="C97" s="205">
        <f t="shared" si="36"/>
        <v>2.5339999999999998</v>
      </c>
      <c r="D97" s="30" t="s">
        <v>17</v>
      </c>
      <c r="E97" s="240">
        <v>0.4</v>
      </c>
      <c r="F97" s="232">
        <v>2.5339999999999998</v>
      </c>
      <c r="G97" s="241"/>
      <c r="H97" s="239"/>
      <c r="I97" s="9" t="str">
        <f t="shared" si="33"/>
        <v>Середовище культуральне Flushing Medium 5x60ml, паков</v>
      </c>
      <c r="J97" s="242"/>
      <c r="K97" s="87"/>
      <c r="N97" s="59"/>
      <c r="O97" s="59"/>
      <c r="P97" s="59"/>
      <c r="Q97" s="59"/>
      <c r="R97" s="59"/>
    </row>
    <row r="98" spans="1:19" ht="33" customHeight="1" thickBot="1" x14ac:dyDescent="0.35">
      <c r="A98" s="338"/>
      <c r="B98" s="238"/>
      <c r="C98" s="205">
        <f t="shared" si="36"/>
        <v>3.976</v>
      </c>
      <c r="D98" s="9" t="s">
        <v>412</v>
      </c>
      <c r="E98" s="240">
        <v>0.4</v>
      </c>
      <c r="F98" s="232">
        <v>3.976</v>
      </c>
      <c r="G98" s="241"/>
      <c r="H98" s="239"/>
      <c r="I98" s="9" t="str">
        <f t="shared" si="33"/>
        <v>Середовище культуральне ICSI® Cumulase 5x0,5ml, паков</v>
      </c>
      <c r="J98" s="242"/>
      <c r="K98" s="87"/>
      <c r="N98" s="59"/>
      <c r="O98" s="59"/>
      <c r="P98" s="59"/>
      <c r="Q98" s="59"/>
      <c r="R98" s="59"/>
    </row>
    <row r="99" spans="1:19" ht="34.200000000000003" customHeight="1" thickBot="1" x14ac:dyDescent="0.35">
      <c r="A99" s="338"/>
      <c r="B99" s="117"/>
      <c r="C99" s="205">
        <f t="shared" si="36"/>
        <v>10.946999999999999</v>
      </c>
      <c r="D99" s="30" t="s">
        <v>21</v>
      </c>
      <c r="E99" s="192">
        <v>5</v>
      </c>
      <c r="F99" s="180">
        <v>10.946999999999999</v>
      </c>
      <c r="G99" s="105"/>
      <c r="H99" s="105"/>
      <c r="I99" s="9" t="str">
        <f t="shared" si="33"/>
        <v>Середовище культуральне SAGE 1-Step™ with Human Serum Albumin 10 ml, паков</v>
      </c>
      <c r="J99" s="175"/>
      <c r="K99" s="87"/>
      <c r="N99" s="59"/>
      <c r="O99" s="59"/>
      <c r="P99" s="59"/>
      <c r="Q99" s="59"/>
      <c r="R99" s="59"/>
    </row>
    <row r="100" spans="1:19" ht="30" customHeight="1" thickBot="1" x14ac:dyDescent="0.35">
      <c r="A100" s="338"/>
      <c r="B100" s="117"/>
      <c r="C100" s="205">
        <f t="shared" si="36"/>
        <v>8.6340000000000003</v>
      </c>
      <c r="D100" s="30" t="s">
        <v>407</v>
      </c>
      <c r="E100" s="192">
        <v>7</v>
      </c>
      <c r="F100" s="180">
        <v>8.6340000000000003</v>
      </c>
      <c r="G100" s="105"/>
      <c r="H100" s="105"/>
      <c r="I100" s="9" t="str">
        <f t="shared" si="33"/>
        <v>Середовище культуральне ORIGIO Sequential Fert™, 10 ml, паков</v>
      </c>
      <c r="J100" s="175"/>
      <c r="K100" s="87"/>
      <c r="N100" s="59"/>
      <c r="O100" s="59"/>
      <c r="P100" s="59"/>
      <c r="Q100" s="59"/>
      <c r="R100" s="59"/>
    </row>
    <row r="101" spans="1:19" ht="26.4" customHeight="1" thickBot="1" x14ac:dyDescent="0.3">
      <c r="A101" s="378"/>
      <c r="B101" s="118">
        <v>0</v>
      </c>
      <c r="C101" s="205">
        <f>F75:F101</f>
        <v>5.375</v>
      </c>
      <c r="D101" s="168" t="s">
        <v>319</v>
      </c>
      <c r="E101" s="191">
        <v>0.5</v>
      </c>
      <c r="F101" s="205">
        <v>5.375</v>
      </c>
      <c r="G101" s="113">
        <v>0</v>
      </c>
      <c r="H101" s="113">
        <v>0</v>
      </c>
      <c r="I101" s="21" t="str">
        <f t="shared" si="24"/>
        <v xml:space="preserve"> ORIGIO® Sperm Wash  10*10 ml, паков</v>
      </c>
      <c r="J101" s="174">
        <f>F101-K101</f>
        <v>-0.93538999999999994</v>
      </c>
      <c r="K101" s="53">
        <v>6.3103899999999999</v>
      </c>
    </row>
    <row r="102" spans="1:19" s="6" customFormat="1" ht="22.8" customHeight="1" x14ac:dyDescent="0.3">
      <c r="A102" s="338" t="s">
        <v>154</v>
      </c>
      <c r="B102" s="330" t="s">
        <v>41</v>
      </c>
      <c r="C102" s="331"/>
      <c r="D102" s="332"/>
      <c r="E102" s="193"/>
      <c r="F102" s="206">
        <f>F103+F104+F105+F106+F107+F108+F109+F110+F111+F112+F113+F114+F115+F116+F117+F118+F119+F120+F121</f>
        <v>231.09444999999997</v>
      </c>
      <c r="G102" s="369" t="s">
        <v>41</v>
      </c>
      <c r="H102" s="370"/>
      <c r="I102" s="371"/>
      <c r="J102" s="169" t="e">
        <f>#REF!+J103+J104+J105+J106+J107+J108+J109+J110+J111+J121</f>
        <v>#REF!</v>
      </c>
      <c r="K102" s="86">
        <v>0</v>
      </c>
      <c r="L102" s="59"/>
      <c r="M102" s="60"/>
      <c r="N102" s="18"/>
      <c r="O102" s="18"/>
      <c r="P102" s="18"/>
      <c r="Q102" s="18"/>
      <c r="R102" s="18"/>
      <c r="S102" s="59"/>
    </row>
    <row r="103" spans="1:19" ht="19.2" customHeight="1" x14ac:dyDescent="0.3">
      <c r="A103" s="338"/>
      <c r="B103" s="116">
        <v>0</v>
      </c>
      <c r="C103" s="201">
        <f>F103:F103</f>
        <v>31.494</v>
      </c>
      <c r="D103" s="9" t="s">
        <v>252</v>
      </c>
      <c r="E103" s="114">
        <v>1</v>
      </c>
      <c r="F103" s="201">
        <v>31.494</v>
      </c>
      <c r="G103" s="104">
        <v>0</v>
      </c>
      <c r="H103" s="104">
        <v>0</v>
      </c>
      <c r="I103" s="9" t="str">
        <f t="shared" ref="I103:I123" si="38">D103</f>
        <v>Послуги архиву</v>
      </c>
      <c r="J103" s="171">
        <f t="shared" ref="J103:J123" si="39">F103</f>
        <v>31.494</v>
      </c>
      <c r="K103" s="54">
        <v>0</v>
      </c>
      <c r="N103" s="59"/>
      <c r="O103" s="59"/>
      <c r="P103" s="59"/>
      <c r="Q103" s="59"/>
      <c r="R103" s="59"/>
    </row>
    <row r="104" spans="1:19" ht="28.2" customHeight="1" x14ac:dyDescent="0.3">
      <c r="A104" s="338"/>
      <c r="B104" s="116">
        <v>0</v>
      </c>
      <c r="C104" s="201">
        <f t="shared" ref="C104:C120" si="40">F103:F104</f>
        <v>2.016</v>
      </c>
      <c r="D104" s="9" t="s">
        <v>243</v>
      </c>
      <c r="E104" s="114">
        <v>1</v>
      </c>
      <c r="F104" s="201">
        <v>2.016</v>
      </c>
      <c r="G104" s="104">
        <v>0</v>
      </c>
      <c r="H104" s="104">
        <v>0</v>
      </c>
      <c r="I104" s="9" t="str">
        <f t="shared" si="38"/>
        <v>Послуга програмного забеспечення HELSI., 1 послуга за 09.23</v>
      </c>
      <c r="J104" s="171">
        <f t="shared" si="39"/>
        <v>2.016</v>
      </c>
      <c r="K104" s="54">
        <v>0</v>
      </c>
      <c r="N104" s="59"/>
      <c r="O104" s="59"/>
      <c r="P104" s="59"/>
      <c r="Q104" s="59"/>
      <c r="R104" s="59"/>
    </row>
    <row r="105" spans="1:19" ht="39.75" customHeight="1" x14ac:dyDescent="0.3">
      <c r="A105" s="338"/>
      <c r="B105" s="116">
        <v>0</v>
      </c>
      <c r="C105" s="201">
        <f t="shared" si="40"/>
        <v>2.016</v>
      </c>
      <c r="D105" s="9" t="s">
        <v>283</v>
      </c>
      <c r="E105" s="114">
        <v>1</v>
      </c>
      <c r="F105" s="201">
        <v>2.016</v>
      </c>
      <c r="G105" s="104">
        <v>0</v>
      </c>
      <c r="H105" s="104">
        <v>0</v>
      </c>
      <c r="I105" s="9" t="str">
        <f t="shared" si="38"/>
        <v>Послуга програмного забеспечення HELSI., 1 послуга за 10.23</v>
      </c>
      <c r="J105" s="171">
        <f t="shared" si="39"/>
        <v>2.016</v>
      </c>
      <c r="K105" s="54">
        <v>0</v>
      </c>
      <c r="N105" s="59"/>
      <c r="O105" s="59"/>
      <c r="P105" s="59"/>
      <c r="Q105" s="59"/>
      <c r="R105" s="59"/>
    </row>
    <row r="106" spans="1:19" ht="39.75" customHeight="1" x14ac:dyDescent="0.3">
      <c r="A106" s="338"/>
      <c r="B106" s="116">
        <v>0</v>
      </c>
      <c r="C106" s="201">
        <f t="shared" si="40"/>
        <v>25</v>
      </c>
      <c r="D106" s="9" t="s">
        <v>254</v>
      </c>
      <c r="E106" s="114">
        <v>1</v>
      </c>
      <c r="F106" s="201">
        <v>25</v>
      </c>
      <c r="G106" s="104">
        <v>0</v>
      </c>
      <c r="H106" s="104">
        <v>0</v>
      </c>
      <c r="I106" s="9" t="str">
        <f t="shared" si="38"/>
        <v>Послуга з ремонту камериендоскопічної ELEPS</v>
      </c>
      <c r="J106" s="171">
        <f t="shared" si="39"/>
        <v>25</v>
      </c>
      <c r="K106" s="54">
        <v>0</v>
      </c>
      <c r="N106" s="59"/>
      <c r="O106" s="59"/>
      <c r="P106" s="59"/>
      <c r="Q106" s="59"/>
      <c r="R106" s="59"/>
    </row>
    <row r="107" spans="1:19" ht="39.75" customHeight="1" x14ac:dyDescent="0.25">
      <c r="A107" s="338"/>
      <c r="B107" s="116">
        <v>0</v>
      </c>
      <c r="C107" s="201">
        <f>F107:F107</f>
        <v>20.003039999999999</v>
      </c>
      <c r="D107" s="263" t="s">
        <v>285</v>
      </c>
      <c r="E107" s="114">
        <v>479</v>
      </c>
      <c r="F107" s="201">
        <v>20.003039999999999</v>
      </c>
      <c r="G107" s="104">
        <v>0</v>
      </c>
      <c r="H107" s="104">
        <v>0</v>
      </c>
      <c r="I107" s="9" t="str">
        <f t="shared" si="38"/>
        <v>Послуги пов'язані з утилізацією медичних відходів</v>
      </c>
      <c r="J107" s="171">
        <f t="shared" si="39"/>
        <v>20.003039999999999</v>
      </c>
      <c r="K107" s="54">
        <v>0</v>
      </c>
    </row>
    <row r="108" spans="1:19" ht="45.6" customHeight="1" x14ac:dyDescent="0.25">
      <c r="A108" s="338"/>
      <c r="B108" s="116">
        <v>0</v>
      </c>
      <c r="C108" s="201">
        <f t="shared" si="40"/>
        <v>4</v>
      </c>
      <c r="D108" s="9" t="s">
        <v>222</v>
      </c>
      <c r="E108" s="114">
        <v>1</v>
      </c>
      <c r="F108" s="201">
        <v>4</v>
      </c>
      <c r="G108" s="104">
        <v>0</v>
      </c>
      <c r="H108" s="104">
        <v>0</v>
      </c>
      <c r="I108" s="9" t="str">
        <f t="shared" si="38"/>
        <v>Послуги з обслуговування мережі інтернет за 08.2023 1 послуга</v>
      </c>
      <c r="J108" s="171">
        <f t="shared" si="39"/>
        <v>4</v>
      </c>
      <c r="K108" s="54">
        <v>0</v>
      </c>
    </row>
    <row r="109" spans="1:19" ht="30.6" customHeight="1" x14ac:dyDescent="0.25">
      <c r="A109" s="338"/>
      <c r="B109" s="116">
        <v>0</v>
      </c>
      <c r="C109" s="201">
        <f t="shared" si="40"/>
        <v>4</v>
      </c>
      <c r="D109" s="9" t="s">
        <v>251</v>
      </c>
      <c r="E109" s="114">
        <v>1</v>
      </c>
      <c r="F109" s="201">
        <v>4</v>
      </c>
      <c r="G109" s="104">
        <v>0</v>
      </c>
      <c r="H109" s="104">
        <v>0</v>
      </c>
      <c r="I109" s="9" t="str">
        <f t="shared" si="38"/>
        <v>Послуги з обслуговування мережі інтернет за 09.2023 1 послуга</v>
      </c>
      <c r="J109" s="171">
        <f t="shared" si="39"/>
        <v>4</v>
      </c>
      <c r="K109" s="54">
        <v>0</v>
      </c>
    </row>
    <row r="110" spans="1:19" ht="25.8" customHeight="1" x14ac:dyDescent="0.25">
      <c r="A110" s="338"/>
      <c r="B110" s="116">
        <v>0</v>
      </c>
      <c r="C110" s="201">
        <f t="shared" si="40"/>
        <v>4</v>
      </c>
      <c r="D110" s="9" t="s">
        <v>284</v>
      </c>
      <c r="E110" s="114">
        <v>1</v>
      </c>
      <c r="F110" s="201">
        <v>4</v>
      </c>
      <c r="G110" s="104">
        <v>0</v>
      </c>
      <c r="H110" s="104">
        <v>0</v>
      </c>
      <c r="I110" s="9" t="str">
        <f t="shared" si="38"/>
        <v>Послуги з обслуговування мережі інтернет за 10.2023 1 послуга</v>
      </c>
      <c r="J110" s="171">
        <f t="shared" si="39"/>
        <v>4</v>
      </c>
      <c r="K110" s="54">
        <v>0</v>
      </c>
    </row>
    <row r="111" spans="1:19" ht="46.2" customHeight="1" x14ac:dyDescent="0.25">
      <c r="A111" s="338"/>
      <c r="B111" s="117">
        <v>0</v>
      </c>
      <c r="C111" s="180">
        <f t="shared" si="40"/>
        <v>29.648409999999998</v>
      </c>
      <c r="D111" s="194" t="s">
        <v>286</v>
      </c>
      <c r="E111" s="261">
        <v>1</v>
      </c>
      <c r="F111" s="207">
        <v>29.648409999999998</v>
      </c>
      <c r="G111" s="104">
        <v>0</v>
      </c>
      <c r="H111" s="104">
        <v>0</v>
      </c>
      <c r="I111" s="9" t="str">
        <f t="shared" si="38"/>
        <v>Послуга з повторноїсертифікації систем управления якістю Заявника на відповідністьвимогам ДСТУ ISO 9001:2015</v>
      </c>
      <c r="J111" s="171">
        <f t="shared" si="39"/>
        <v>29.648409999999998</v>
      </c>
      <c r="K111" s="54">
        <v>0</v>
      </c>
    </row>
    <row r="112" spans="1:19" ht="28.2" customHeight="1" x14ac:dyDescent="0.25">
      <c r="A112" s="338"/>
      <c r="B112" s="117"/>
      <c r="C112" s="180">
        <f t="shared" si="40"/>
        <v>19.03</v>
      </c>
      <c r="D112" s="194" t="s">
        <v>309</v>
      </c>
      <c r="E112" s="261">
        <v>1</v>
      </c>
      <c r="F112" s="207">
        <v>19.03</v>
      </c>
      <c r="G112" s="105"/>
      <c r="H112" s="105"/>
      <c r="I112" s="9" t="str">
        <f t="shared" si="38"/>
        <v xml:space="preserve">Послуга з ремонту ультразвукового діагностичного апарата "Philips  HD11XE" </v>
      </c>
      <c r="J112" s="175">
        <f t="shared" si="39"/>
        <v>19.03</v>
      </c>
      <c r="K112" s="87"/>
    </row>
    <row r="113" spans="1:19" ht="28.8" customHeight="1" x14ac:dyDescent="0.25">
      <c r="A113" s="338"/>
      <c r="B113" s="117"/>
      <c r="C113" s="180">
        <f t="shared" si="40"/>
        <v>49.54</v>
      </c>
      <c r="D113" s="194" t="s">
        <v>310</v>
      </c>
      <c r="E113" s="261">
        <v>1</v>
      </c>
      <c r="F113" s="207">
        <v>49.54</v>
      </c>
      <c r="G113" s="105"/>
      <c r="H113" s="105"/>
      <c r="I113" s="9" t="str">
        <f t="shared" si="38"/>
        <v xml:space="preserve">Послуга з ремонту ультразвукового діагностичного апарата "Philips  HD7" </v>
      </c>
      <c r="J113" s="175">
        <f t="shared" si="39"/>
        <v>49.54</v>
      </c>
      <c r="K113" s="87"/>
    </row>
    <row r="114" spans="1:19" ht="28.8" customHeight="1" x14ac:dyDescent="0.25">
      <c r="A114" s="338"/>
      <c r="B114" s="117"/>
      <c r="C114" s="180">
        <f t="shared" si="40"/>
        <v>21</v>
      </c>
      <c r="D114" s="194" t="s">
        <v>313</v>
      </c>
      <c r="E114" s="261">
        <v>1</v>
      </c>
      <c r="F114" s="207">
        <v>21</v>
      </c>
      <c r="G114" s="105"/>
      <c r="H114" s="105"/>
      <c r="I114" s="9" t="str">
        <f t="shared" si="38"/>
        <v xml:space="preserve">Послуга з ремонту інсуфлятора Ендомедіум </v>
      </c>
      <c r="J114" s="175">
        <f t="shared" si="39"/>
        <v>21</v>
      </c>
      <c r="K114" s="87"/>
    </row>
    <row r="115" spans="1:19" ht="15.6" customHeight="1" x14ac:dyDescent="0.25">
      <c r="A115" s="338"/>
      <c r="B115" s="117"/>
      <c r="C115" s="180">
        <f t="shared" si="40"/>
        <v>6.1909999999999998</v>
      </c>
      <c r="D115" s="194" t="s">
        <v>315</v>
      </c>
      <c r="E115" s="261">
        <v>1</v>
      </c>
      <c r="F115" s="207">
        <v>6.1909999999999998</v>
      </c>
      <c r="G115" s="105"/>
      <c r="H115" s="105"/>
      <c r="I115" s="9" t="str">
        <f t="shared" si="38"/>
        <v>Послуга з ремонту автомобіля Opel Combo 1,4</v>
      </c>
      <c r="J115" s="175">
        <f t="shared" si="39"/>
        <v>6.1909999999999998</v>
      </c>
      <c r="K115" s="87"/>
    </row>
    <row r="116" spans="1:19" ht="29.4" customHeight="1" x14ac:dyDescent="0.25">
      <c r="A116" s="338"/>
      <c r="B116" s="117"/>
      <c r="C116" s="180">
        <f t="shared" si="40"/>
        <v>2.016</v>
      </c>
      <c r="D116" s="9" t="s">
        <v>311</v>
      </c>
      <c r="E116" s="114">
        <v>1</v>
      </c>
      <c r="F116" s="201">
        <v>2.016</v>
      </c>
      <c r="G116" s="105"/>
      <c r="H116" s="105"/>
      <c r="I116" s="9" t="str">
        <f t="shared" si="38"/>
        <v>Послуга програмного забеспечення HELSI., 1 послуга за 11.23</v>
      </c>
      <c r="J116" s="175">
        <f t="shared" si="39"/>
        <v>2.016</v>
      </c>
      <c r="K116" s="87"/>
    </row>
    <row r="117" spans="1:19" ht="14.4" customHeight="1" x14ac:dyDescent="0.25">
      <c r="A117" s="338"/>
      <c r="B117" s="117"/>
      <c r="C117" s="180">
        <f t="shared" si="40"/>
        <v>2.79</v>
      </c>
      <c r="D117" s="194" t="s">
        <v>315</v>
      </c>
      <c r="E117" s="261">
        <v>1</v>
      </c>
      <c r="F117" s="207">
        <v>2.79</v>
      </c>
      <c r="G117" s="105"/>
      <c r="H117" s="105"/>
      <c r="I117" s="9" t="str">
        <f t="shared" si="38"/>
        <v>Послуга з ремонту автомобіля Opel Combo 1,4</v>
      </c>
      <c r="J117" s="175">
        <f t="shared" si="39"/>
        <v>2.79</v>
      </c>
      <c r="K117" s="87"/>
    </row>
    <row r="118" spans="1:19" ht="30" customHeight="1" x14ac:dyDescent="0.25">
      <c r="A118" s="338"/>
      <c r="B118" s="117"/>
      <c r="C118" s="180">
        <f t="shared" si="40"/>
        <v>2.016</v>
      </c>
      <c r="D118" s="9" t="s">
        <v>318</v>
      </c>
      <c r="E118" s="261">
        <v>1</v>
      </c>
      <c r="F118" s="207">
        <v>2.016</v>
      </c>
      <c r="G118" s="105"/>
      <c r="H118" s="105"/>
      <c r="I118" s="9" t="str">
        <f t="shared" si="38"/>
        <v>Послуга програмного забеспечення HELSI., 1 послуга за 12.23</v>
      </c>
      <c r="J118" s="175">
        <f t="shared" si="39"/>
        <v>2.016</v>
      </c>
      <c r="K118" s="87"/>
    </row>
    <row r="119" spans="1:19" ht="31.8" customHeight="1" x14ac:dyDescent="0.25">
      <c r="A119" s="338"/>
      <c r="B119" s="117"/>
      <c r="C119" s="180">
        <f t="shared" si="40"/>
        <v>4</v>
      </c>
      <c r="D119" s="9" t="s">
        <v>251</v>
      </c>
      <c r="E119" s="261">
        <v>1</v>
      </c>
      <c r="F119" s="207">
        <v>4</v>
      </c>
      <c r="G119" s="105"/>
      <c r="H119" s="105"/>
      <c r="I119" s="9" t="str">
        <f t="shared" si="38"/>
        <v>Послуги з обслуговування мережі інтернет за 09.2023 1 послуга</v>
      </c>
      <c r="J119" s="175">
        <f t="shared" si="39"/>
        <v>4</v>
      </c>
      <c r="K119" s="87"/>
    </row>
    <row r="120" spans="1:19" ht="17.399999999999999" customHeight="1" x14ac:dyDescent="0.25">
      <c r="A120" s="338"/>
      <c r="B120" s="117"/>
      <c r="C120" s="180">
        <f t="shared" si="40"/>
        <v>0.57899999999999996</v>
      </c>
      <c r="D120" s="9" t="s">
        <v>321</v>
      </c>
      <c r="E120" s="261">
        <v>1</v>
      </c>
      <c r="F120" s="207">
        <v>0.57899999999999996</v>
      </c>
      <c r="G120" s="105"/>
      <c r="H120" s="105"/>
      <c r="I120" s="9" t="str">
        <f t="shared" si="38"/>
        <v>страхування майна</v>
      </c>
      <c r="J120" s="175">
        <f t="shared" si="39"/>
        <v>0.57899999999999996</v>
      </c>
      <c r="K120" s="87"/>
    </row>
    <row r="121" spans="1:19" ht="39.75" customHeight="1" thickBot="1" x14ac:dyDescent="0.3">
      <c r="A121" s="338"/>
      <c r="B121" s="117">
        <v>0</v>
      </c>
      <c r="C121" s="180">
        <f t="shared" ref="C121" si="41">F110:F121</f>
        <v>1.7549999999999999</v>
      </c>
      <c r="D121" s="9" t="s">
        <v>320</v>
      </c>
      <c r="E121" s="261">
        <v>1</v>
      </c>
      <c r="F121" s="180">
        <v>1.7549999999999999</v>
      </c>
      <c r="G121" s="105">
        <v>0</v>
      </c>
      <c r="H121" s="105">
        <v>0</v>
      </c>
      <c r="I121" s="13" t="str">
        <f t="shared" si="38"/>
        <v xml:space="preserve">Послуга з постачання програмного забезпечення </v>
      </c>
      <c r="J121" s="175">
        <f t="shared" si="39"/>
        <v>1.7549999999999999</v>
      </c>
      <c r="K121" s="87">
        <v>0</v>
      </c>
    </row>
    <row r="122" spans="1:19" s="6" customFormat="1" ht="24" customHeight="1" x14ac:dyDescent="0.3">
      <c r="A122" s="338"/>
      <c r="B122" s="367" t="s">
        <v>38</v>
      </c>
      <c r="C122" s="368"/>
      <c r="D122" s="368"/>
      <c r="E122" s="368"/>
      <c r="F122" s="198">
        <f>F123</f>
        <v>14.916</v>
      </c>
      <c r="G122" s="367" t="s">
        <v>38</v>
      </c>
      <c r="H122" s="368"/>
      <c r="I122" s="368"/>
      <c r="J122" s="368"/>
      <c r="K122" s="57">
        <v>0</v>
      </c>
      <c r="L122" s="59"/>
      <c r="M122" s="59"/>
      <c r="N122" s="18"/>
      <c r="O122" s="18"/>
      <c r="P122" s="18"/>
      <c r="Q122" s="18"/>
      <c r="R122" s="18"/>
      <c r="S122" s="59"/>
    </row>
    <row r="123" spans="1:19" ht="21.6" customHeight="1" thickBot="1" x14ac:dyDescent="0.3">
      <c r="A123" s="338"/>
      <c r="B123" s="116">
        <v>0</v>
      </c>
      <c r="C123" s="201">
        <f>F110:F123</f>
        <v>14.916</v>
      </c>
      <c r="D123" s="9" t="s">
        <v>316</v>
      </c>
      <c r="E123" s="104">
        <v>150</v>
      </c>
      <c r="F123" s="201">
        <v>14.916</v>
      </c>
      <c r="G123" s="104">
        <v>0</v>
      </c>
      <c r="H123" s="104">
        <v>0</v>
      </c>
      <c r="I123" s="9" t="str">
        <f t="shared" si="38"/>
        <v>Туушки кури-бройл. заморожен.</v>
      </c>
      <c r="J123" s="171">
        <f t="shared" si="39"/>
        <v>14.916</v>
      </c>
      <c r="K123" s="54">
        <v>0</v>
      </c>
    </row>
    <row r="124" spans="1:19" s="26" customFormat="1" ht="33" customHeight="1" x14ac:dyDescent="0.25">
      <c r="A124" s="338"/>
      <c r="B124" s="330" t="s">
        <v>56</v>
      </c>
      <c r="C124" s="331"/>
      <c r="D124" s="331"/>
      <c r="E124" s="332"/>
      <c r="F124" s="203">
        <f>F125</f>
        <v>128.1</v>
      </c>
      <c r="G124" s="333" t="s">
        <v>56</v>
      </c>
      <c r="H124" s="331"/>
      <c r="I124" s="332"/>
      <c r="J124" s="172">
        <f>J125</f>
        <v>128.1</v>
      </c>
      <c r="K124" s="57">
        <v>0</v>
      </c>
      <c r="L124" s="61"/>
      <c r="M124" s="61"/>
      <c r="N124" s="18"/>
      <c r="O124" s="18"/>
      <c r="P124" s="18"/>
      <c r="Q124" s="18"/>
      <c r="R124" s="18"/>
      <c r="S124" s="61"/>
    </row>
    <row r="125" spans="1:19" ht="48" customHeight="1" thickBot="1" x14ac:dyDescent="0.3">
      <c r="A125" s="338"/>
      <c r="B125" s="116">
        <v>0</v>
      </c>
      <c r="C125" s="222">
        <f t="shared" ref="C125" si="42">F124:F125</f>
        <v>128.1</v>
      </c>
      <c r="D125" s="30" t="s">
        <v>312</v>
      </c>
      <c r="E125" s="195">
        <v>1</v>
      </c>
      <c r="F125" s="208">
        <v>128.1</v>
      </c>
      <c r="G125" s="104">
        <v>0</v>
      </c>
      <c r="H125" s="104">
        <v>0</v>
      </c>
      <c r="I125" s="9" t="str">
        <f t="shared" ref="I125" si="43">D125</f>
        <v>Аудіометр OScreen (PM1610)</v>
      </c>
      <c r="J125" s="171">
        <f t="shared" ref="J125:J130" si="44">F125</f>
        <v>128.1</v>
      </c>
      <c r="K125" s="54">
        <v>0</v>
      </c>
    </row>
    <row r="126" spans="1:19" ht="48" customHeight="1" thickBot="1" x14ac:dyDescent="0.3">
      <c r="A126" s="234"/>
      <c r="B126" s="330" t="s">
        <v>15</v>
      </c>
      <c r="C126" s="331"/>
      <c r="D126" s="331"/>
      <c r="E126" s="332"/>
      <c r="F126" s="203">
        <f>F127+F131</f>
        <v>1169.6369199999999</v>
      </c>
      <c r="G126" s="333" t="s">
        <v>15</v>
      </c>
      <c r="H126" s="331"/>
      <c r="I126" s="332"/>
      <c r="J126" s="167" t="e">
        <f>J127+J140+J150+J156+J165+J169+J172+J175+J179+J183</f>
        <v>#REF!</v>
      </c>
      <c r="K126" s="55" t="e">
        <f>K127+K140+K156+K165+K169+K172+K175+K179+K183+K150</f>
        <v>#REF!</v>
      </c>
    </row>
    <row r="127" spans="1:19" s="6" customFormat="1" ht="26.25" customHeight="1" x14ac:dyDescent="0.3">
      <c r="A127" s="376" t="s">
        <v>60</v>
      </c>
      <c r="B127" s="379" t="s">
        <v>406</v>
      </c>
      <c r="C127" s="380"/>
      <c r="D127" s="380"/>
      <c r="E127" s="381"/>
      <c r="F127" s="209">
        <f>F128+F129+F130</f>
        <v>48.320999999999998</v>
      </c>
      <c r="G127" s="333" t="s">
        <v>16</v>
      </c>
      <c r="H127" s="331"/>
      <c r="I127" s="332"/>
      <c r="J127" s="225">
        <f>J128+J129+J130</f>
        <v>48.320999999999998</v>
      </c>
      <c r="K127" s="57">
        <v>0</v>
      </c>
      <c r="L127" s="59"/>
      <c r="M127" s="62"/>
      <c r="N127" s="18"/>
      <c r="O127" s="18"/>
      <c r="P127" s="18"/>
      <c r="Q127" s="18"/>
      <c r="R127" s="18"/>
      <c r="S127" s="59"/>
    </row>
    <row r="128" spans="1:19" s="6" customFormat="1" ht="45" customHeight="1" x14ac:dyDescent="0.3">
      <c r="A128" s="377"/>
      <c r="B128" s="196">
        <f>-E1057</f>
        <v>0</v>
      </c>
      <c r="C128" s="201">
        <f t="shared" ref="C128:C130" si="45">F127:F128</f>
        <v>0.624</v>
      </c>
      <c r="D128" s="264" t="s">
        <v>322</v>
      </c>
      <c r="E128" s="176">
        <v>100</v>
      </c>
      <c r="F128" s="210">
        <v>0.624</v>
      </c>
      <c r="G128" s="104">
        <v>0</v>
      </c>
      <c r="H128" s="162" t="s">
        <v>193</v>
      </c>
      <c r="I128" s="9" t="str">
        <f t="shared" ref="I128:I130" si="46">D128</f>
        <v>Бензатин пеніцилін/Benzathine peniciline 1,2 MIU powder forinjection, №50 фл. в упаковці, Exp.date 30.11.2024,  1,2 MIU</v>
      </c>
      <c r="J128" s="171">
        <f t="shared" si="44"/>
        <v>0.624</v>
      </c>
      <c r="K128" s="54">
        <v>0</v>
      </c>
      <c r="L128" s="59"/>
      <c r="M128" s="59"/>
      <c r="N128" s="18"/>
      <c r="O128" s="18"/>
      <c r="P128" s="18"/>
      <c r="Q128" s="18"/>
      <c r="R128" s="18"/>
      <c r="S128" s="59"/>
    </row>
    <row r="129" spans="1:19" s="6" customFormat="1" ht="28.2" customHeight="1" x14ac:dyDescent="0.3">
      <c r="A129" s="377"/>
      <c r="B129" s="116">
        <v>0</v>
      </c>
      <c r="C129" s="201">
        <f t="shared" si="45"/>
        <v>30.442</v>
      </c>
      <c r="D129" s="264" t="s">
        <v>323</v>
      </c>
      <c r="E129" s="114">
        <v>240</v>
      </c>
      <c r="F129" s="201">
        <v>30.442</v>
      </c>
      <c r="G129" s="104">
        <v>0</v>
      </c>
      <c r="H129" s="104">
        <v>0</v>
      </c>
      <c r="I129" s="9" t="str">
        <f t="shared" si="46"/>
        <v>Дитяче харчування / Дитяча суміш 400г</v>
      </c>
      <c r="J129" s="182">
        <f t="shared" si="44"/>
        <v>30.442</v>
      </c>
      <c r="K129" s="54">
        <v>0</v>
      </c>
      <c r="L129" s="59"/>
      <c r="M129" s="59"/>
      <c r="N129" s="18"/>
      <c r="O129" s="18"/>
      <c r="P129" s="18"/>
      <c r="Q129" s="18"/>
      <c r="R129" s="18"/>
      <c r="S129" s="59"/>
    </row>
    <row r="130" spans="1:19" s="6" customFormat="1" ht="28.8" customHeight="1" x14ac:dyDescent="0.3">
      <c r="A130" s="377"/>
      <c r="B130" s="116">
        <v>0</v>
      </c>
      <c r="C130" s="201">
        <f t="shared" si="45"/>
        <v>17.254999999999999</v>
      </c>
      <c r="D130" s="264" t="s">
        <v>324</v>
      </c>
      <c r="E130" s="114">
        <v>63</v>
      </c>
      <c r="F130" s="201">
        <v>17.254999999999999</v>
      </c>
      <c r="G130" s="104">
        <v>0</v>
      </c>
      <c r="H130" s="104">
        <v>0</v>
      </c>
      <c r="I130" s="9" t="str">
        <f t="shared" si="46"/>
        <v xml:space="preserve">Набір товарів для догляду за дитиною </v>
      </c>
      <c r="J130" s="171">
        <f t="shared" si="44"/>
        <v>17.254999999999999</v>
      </c>
      <c r="K130" s="56">
        <f t="shared" ref="K130" si="47">F130-J130</f>
        <v>0</v>
      </c>
      <c r="L130" s="59"/>
      <c r="M130" s="59"/>
      <c r="N130" s="18"/>
      <c r="O130" s="18"/>
      <c r="P130" s="18"/>
      <c r="Q130" s="18"/>
      <c r="R130" s="18"/>
      <c r="S130" s="59"/>
    </row>
    <row r="131" spans="1:19" ht="25.5" customHeight="1" x14ac:dyDescent="0.25">
      <c r="A131" s="377"/>
      <c r="B131" s="379" t="s">
        <v>406</v>
      </c>
      <c r="C131" s="380"/>
      <c r="D131" s="380"/>
      <c r="E131" s="381"/>
      <c r="F131" s="211">
        <f>F132+F133+F134+F135+F136+F137+F138+F139+F140+F141+F142+F143+F144+F145+F146+F147+F148</f>
        <v>1121.31592</v>
      </c>
      <c r="G131" s="388" t="s">
        <v>406</v>
      </c>
      <c r="H131" s="389"/>
      <c r="I131" s="390"/>
      <c r="J131" s="95" t="e">
        <f>#REF!</f>
        <v>#REF!</v>
      </c>
      <c r="K131" s="90" t="e">
        <f>#REF!</f>
        <v>#REF!</v>
      </c>
    </row>
    <row r="132" spans="1:19" s="18" customFormat="1" ht="34.5" customHeight="1" x14ac:dyDescent="0.25">
      <c r="A132" s="377"/>
      <c r="B132" s="116">
        <v>0</v>
      </c>
      <c r="C132" s="201">
        <f>F131:F132</f>
        <v>1.32443</v>
      </c>
      <c r="D132" s="30" t="s">
        <v>264</v>
      </c>
      <c r="E132" s="271">
        <v>400</v>
      </c>
      <c r="F132" s="201">
        <v>1.32443</v>
      </c>
      <c r="G132" s="104">
        <v>0</v>
      </c>
      <c r="H132" s="104">
        <v>0</v>
      </c>
      <c r="I132" s="9" t="str">
        <f t="shared" ref="I132:I148" si="48">D132</f>
        <v>Флуконгазол /fluconazol Puren 100 mg №100 в упаковці Exp.date 29.02.2024  100 mg</v>
      </c>
      <c r="J132" s="65">
        <f t="shared" ref="J132:J148" si="49">F132-K132</f>
        <v>0</v>
      </c>
      <c r="K132" s="54">
        <f>F132</f>
        <v>1.32443</v>
      </c>
    </row>
    <row r="133" spans="1:19" s="18" customFormat="1" ht="37.200000000000003" customHeight="1" x14ac:dyDescent="0.25">
      <c r="A133" s="377"/>
      <c r="B133" s="116">
        <v>0</v>
      </c>
      <c r="C133" s="201">
        <f t="shared" ref="C133:C148" si="50">F132:F133</f>
        <v>7.4783900000000001</v>
      </c>
      <c r="D133" s="30" t="s">
        <v>265</v>
      </c>
      <c r="E133" s="271">
        <v>2000</v>
      </c>
      <c r="F133" s="201">
        <v>7.4783900000000001</v>
      </c>
      <c r="G133" s="104">
        <v>0</v>
      </c>
      <c r="H133" s="104">
        <v>0</v>
      </c>
      <c r="I133" s="9" t="str">
        <f t="shared" si="48"/>
        <v>Флуконгазол /fluconazol Puren 100 mg №20 в упаковці Exp.date 29.02.2024  100 mg</v>
      </c>
      <c r="J133" s="65">
        <f t="shared" si="49"/>
        <v>0</v>
      </c>
      <c r="K133" s="54">
        <f>F133</f>
        <v>7.4783900000000001</v>
      </c>
    </row>
    <row r="134" spans="1:19" s="18" customFormat="1" ht="41.4" customHeight="1" x14ac:dyDescent="0.25">
      <c r="A134" s="377"/>
      <c r="B134" s="116">
        <v>0</v>
      </c>
      <c r="C134" s="201">
        <f t="shared" si="50"/>
        <v>5.1349</v>
      </c>
      <c r="D134" s="30" t="s">
        <v>266</v>
      </c>
      <c r="E134" s="271">
        <v>200</v>
      </c>
      <c r="F134" s="212">
        <v>5.1349</v>
      </c>
      <c r="G134" s="104">
        <v>0</v>
      </c>
      <c r="H134" s="104">
        <v>0</v>
      </c>
      <c r="I134" s="9" t="str">
        <f t="shared" si="48"/>
        <v xml:space="preserve">Бупівакаін /Bucain 5 ILO.100 / 20ml №50 в упаковці. Exp.date 28.02.2024  100ml </v>
      </c>
      <c r="J134" s="65">
        <f t="shared" si="49"/>
        <v>0</v>
      </c>
      <c r="K134" s="54">
        <f>F134</f>
        <v>5.1349</v>
      </c>
    </row>
    <row r="135" spans="1:19" s="18" customFormat="1" ht="31.2" customHeight="1" x14ac:dyDescent="0.25">
      <c r="A135" s="377"/>
      <c r="B135" s="116">
        <v>0</v>
      </c>
      <c r="C135" s="201">
        <f t="shared" si="50"/>
        <v>5.3428500000000003</v>
      </c>
      <c r="D135" s="30" t="s">
        <v>267</v>
      </c>
      <c r="E135" s="271">
        <v>200</v>
      </c>
      <c r="F135" s="212">
        <v>5.3428500000000003</v>
      </c>
      <c r="G135" s="104">
        <v>0</v>
      </c>
      <c r="H135" s="104">
        <v>0</v>
      </c>
      <c r="I135" s="9" t="str">
        <f t="shared" si="48"/>
        <v xml:space="preserve">Бупівакаін /Bucain 2,5 ILO.50 / 20ml №10 упаковці. Exp.date 31.03.2024  50ml </v>
      </c>
      <c r="J135" s="65">
        <f>F135-K135</f>
        <v>1.9026400000000003</v>
      </c>
      <c r="K135" s="66">
        <v>3.44021</v>
      </c>
    </row>
    <row r="136" spans="1:19" s="18" customFormat="1" ht="48.6" customHeight="1" x14ac:dyDescent="0.25">
      <c r="A136" s="377"/>
      <c r="B136" s="116">
        <v>0</v>
      </c>
      <c r="C136" s="201">
        <f t="shared" si="50"/>
        <v>2</v>
      </c>
      <c r="D136" s="30" t="s">
        <v>287</v>
      </c>
      <c r="E136" s="271">
        <v>2000</v>
      </c>
      <c r="F136" s="212">
        <v>2</v>
      </c>
      <c r="G136" s="104">
        <v>0</v>
      </c>
      <c r="H136" s="104">
        <v>0</v>
      </c>
      <c r="I136" s="9" t="str">
        <f t="shared" si="48"/>
        <v>Шприци без головок /Шприц без головки BD Discarbit II,2ml, №100 в упаковці. Exp.date 08.2025 n/а</v>
      </c>
      <c r="J136" s="65">
        <f t="shared" si="49"/>
        <v>0.38111000000000006</v>
      </c>
      <c r="K136" s="66">
        <v>1.6188899999999999</v>
      </c>
    </row>
    <row r="137" spans="1:19" s="18" customFormat="1" ht="64.2" customHeight="1" x14ac:dyDescent="0.25">
      <c r="A137" s="377"/>
      <c r="B137" s="116">
        <v>0</v>
      </c>
      <c r="C137" s="201">
        <f t="shared" si="50"/>
        <v>0.32</v>
      </c>
      <c r="D137" s="30" t="s">
        <v>288</v>
      </c>
      <c r="E137" s="271">
        <v>320</v>
      </c>
      <c r="F137" s="212">
        <v>0.32</v>
      </c>
      <c r="G137" s="104">
        <v>0</v>
      </c>
      <c r="H137" s="104">
        <v>0</v>
      </c>
      <c r="I137" s="9" t="str">
        <f t="shared" si="48"/>
        <v>Катетер внутнішньовенний / Двопортова закрита внутрішньовенна катетерна система 20GA, №80 в упаковці Exp.date 07.2024 n/а</v>
      </c>
      <c r="J137" s="65">
        <f t="shared" si="49"/>
        <v>0.189</v>
      </c>
      <c r="K137" s="66">
        <v>0.13100000000000001</v>
      </c>
    </row>
    <row r="138" spans="1:19" s="18" customFormat="1" ht="60.6" customHeight="1" x14ac:dyDescent="0.25">
      <c r="A138" s="377"/>
      <c r="B138" s="116">
        <v>0</v>
      </c>
      <c r="C138" s="201">
        <f t="shared" si="50"/>
        <v>1.9E-2</v>
      </c>
      <c r="D138" s="30" t="s">
        <v>289</v>
      </c>
      <c r="E138" s="271">
        <v>19</v>
      </c>
      <c r="F138" s="212">
        <v>1.9E-2</v>
      </c>
      <c r="G138" s="104">
        <v>0</v>
      </c>
      <c r="H138" s="104">
        <v>0</v>
      </c>
      <c r="I138" s="9" t="str">
        <f>D138</f>
        <v>Набір товарів для огляду за дитиною / Дитячий набір BABY BOX (коробка). Exp.date 09.2024 n/а</v>
      </c>
      <c r="J138" s="65">
        <f t="shared" si="49"/>
        <v>0</v>
      </c>
      <c r="K138" s="66">
        <f>F138</f>
        <v>1.9E-2</v>
      </c>
    </row>
    <row r="139" spans="1:19" s="18" customFormat="1" ht="45.6" customHeight="1" x14ac:dyDescent="0.25">
      <c r="A139" s="377"/>
      <c r="B139" s="116">
        <v>0</v>
      </c>
      <c r="C139" s="201">
        <f>F137:F139</f>
        <v>0.5</v>
      </c>
      <c r="D139" s="30" t="s">
        <v>290</v>
      </c>
      <c r="E139" s="271">
        <v>500</v>
      </c>
      <c r="F139" s="212">
        <v>0.5</v>
      </c>
      <c r="G139" s="104">
        <v>0</v>
      </c>
      <c r="H139" s="104">
        <v>0</v>
      </c>
      <c r="I139" s="9" t="str">
        <f t="shared" si="48"/>
        <v>Шприц з голками (рзного обсягу) / Шприц стерильний з голкою Iml, 23G, T100 в упаковці. Exp.date 02.2026 n/а</v>
      </c>
      <c r="J139" s="65">
        <f t="shared" si="49"/>
        <v>0</v>
      </c>
      <c r="K139" s="66">
        <f>F139</f>
        <v>0.5</v>
      </c>
    </row>
    <row r="140" spans="1:19" s="18" customFormat="1" ht="33" customHeight="1" x14ac:dyDescent="0.25">
      <c r="A140" s="377"/>
      <c r="B140" s="116">
        <v>0</v>
      </c>
      <c r="C140" s="201">
        <f t="shared" si="50"/>
        <v>120.9624</v>
      </c>
      <c r="D140" s="30" t="s">
        <v>291</v>
      </c>
      <c r="E140" s="271">
        <v>400</v>
      </c>
      <c r="F140" s="212">
        <v>120.9624</v>
      </c>
      <c r="G140" s="104">
        <v>0</v>
      </c>
      <c r="H140" s="104">
        <v>0</v>
      </c>
      <c r="I140" s="9" t="str">
        <f t="shared" si="48"/>
        <v>Фартух / gunova PVC apron black 90*120 cм/№10 в коробі п/а</v>
      </c>
      <c r="J140" s="65">
        <f t="shared" si="49"/>
        <v>0</v>
      </c>
      <c r="K140" s="66">
        <f>F140</f>
        <v>120.9624</v>
      </c>
    </row>
    <row r="141" spans="1:19" s="18" customFormat="1" ht="33" customHeight="1" x14ac:dyDescent="0.25">
      <c r="A141" s="377"/>
      <c r="B141" s="116">
        <v>0</v>
      </c>
      <c r="C141" s="201">
        <f t="shared" si="50"/>
        <v>0.95199999999999996</v>
      </c>
      <c r="D141" s="30" t="s">
        <v>292</v>
      </c>
      <c r="E141" s="271">
        <v>1000</v>
      </c>
      <c r="F141" s="201">
        <v>0.95199999999999996</v>
      </c>
      <c r="G141" s="104">
        <v>0</v>
      </c>
      <c r="H141" s="104">
        <v>0</v>
      </c>
      <c r="I141" s="9" t="str">
        <f t="shared" si="48"/>
        <v>Амоксицилін / Amoxicilin 250mg-bp 1000caps. Exp.date 30.07.2025 250mg</v>
      </c>
      <c r="J141" s="65">
        <f t="shared" si="49"/>
        <v>0.83114999999999994</v>
      </c>
      <c r="K141" s="67">
        <v>0.12085</v>
      </c>
    </row>
    <row r="142" spans="1:19" s="18" customFormat="1" ht="75" customHeight="1" x14ac:dyDescent="0.25">
      <c r="A142" s="377"/>
      <c r="B142" s="116">
        <v>0</v>
      </c>
      <c r="C142" s="201">
        <f t="shared" si="50"/>
        <v>3.2826</v>
      </c>
      <c r="D142" s="30" t="s">
        <v>293</v>
      </c>
      <c r="E142" s="271">
        <v>100</v>
      </c>
      <c r="F142" s="201">
        <v>3.2826</v>
      </c>
      <c r="G142" s="104">
        <v>0</v>
      </c>
      <c r="H142" s="104">
        <v>0</v>
      </c>
      <c r="I142" s="9" t="str">
        <f t="shared" si="48"/>
        <v>Бинт медичний еластичний середньої розтяжності / Medium stretch bandage, ABE lastic, 12 non-sterile permanently elastic №5*10 (50шт в коробі). Exp.date 30.08.2026  n/а</v>
      </c>
      <c r="J142" s="65">
        <f t="shared" si="49"/>
        <v>0</v>
      </c>
      <c r="K142" s="67">
        <f>F142</f>
        <v>3.2826</v>
      </c>
    </row>
    <row r="143" spans="1:19" s="18" customFormat="1" ht="79.2" customHeight="1" x14ac:dyDescent="0.25">
      <c r="A143" s="377"/>
      <c r="B143" s="116">
        <v>0</v>
      </c>
      <c r="C143" s="201">
        <f t="shared" si="50"/>
        <v>3.2826</v>
      </c>
      <c r="D143" s="30" t="s">
        <v>294</v>
      </c>
      <c r="E143" s="271">
        <v>100</v>
      </c>
      <c r="F143" s="201">
        <v>3.2826</v>
      </c>
      <c r="G143" s="104">
        <v>0</v>
      </c>
      <c r="H143" s="104">
        <v>0</v>
      </c>
      <c r="I143" s="9" t="str">
        <f t="shared" si="48"/>
        <v>Бинт медичний еластичний середньої розтяжності / Medium stretch bandage, ABE lastic, 12 non-sterile permanently elastic №5*10 (50шт в коробі). Exp.date 30.05.2026  n/а</v>
      </c>
      <c r="J143" s="65">
        <f t="shared" si="49"/>
        <v>0</v>
      </c>
      <c r="K143" s="67">
        <f t="shared" ref="K143:K145" si="51">F143</f>
        <v>3.2826</v>
      </c>
    </row>
    <row r="144" spans="1:19" s="18" customFormat="1" ht="82.2" customHeight="1" x14ac:dyDescent="0.25">
      <c r="A144" s="377"/>
      <c r="B144" s="116">
        <v>0</v>
      </c>
      <c r="C144" s="201">
        <f t="shared" si="50"/>
        <v>4.1580000000000004</v>
      </c>
      <c r="D144" s="30" t="s">
        <v>295</v>
      </c>
      <c r="E144" s="271">
        <v>100</v>
      </c>
      <c r="F144" s="201">
        <v>4.1580000000000004</v>
      </c>
      <c r="G144" s="104">
        <v>0</v>
      </c>
      <c r="H144" s="104">
        <v>0</v>
      </c>
      <c r="I144" s="9" t="str">
        <f t="shared" si="48"/>
        <v>Бинт медичний еластичний середньої розтяжності / Medium stretch bandage, ABE lastic, 12 non-sterile permanently elastic №5*10 (50шт в коробі). Exp.date 30.12.2025  n/а</v>
      </c>
      <c r="J144" s="65">
        <f t="shared" si="49"/>
        <v>0</v>
      </c>
      <c r="K144" s="67">
        <f t="shared" si="51"/>
        <v>4.1580000000000004</v>
      </c>
    </row>
    <row r="145" spans="1:19" s="18" customFormat="1" ht="49.2" customHeight="1" x14ac:dyDescent="0.25">
      <c r="A145" s="377"/>
      <c r="B145" s="116">
        <v>0</v>
      </c>
      <c r="C145" s="201">
        <f t="shared" si="50"/>
        <v>2.3012000000000001</v>
      </c>
      <c r="D145" s="30" t="s">
        <v>296</v>
      </c>
      <c r="E145" s="271">
        <v>2000</v>
      </c>
      <c r="F145" s="201">
        <v>2.3012000000000001</v>
      </c>
      <c r="G145" s="104">
        <v>0</v>
      </c>
      <c r="H145" s="104">
        <v>0</v>
      </c>
      <c r="I145" s="9" t="str">
        <f t="shared" si="48"/>
        <v>Голки / Safery  needief For single use 25G*1,5 (0,5*25mm), №2000 в коробі.  Exp.date 28.04.2026  n/а</v>
      </c>
      <c r="J145" s="65">
        <f t="shared" si="49"/>
        <v>0</v>
      </c>
      <c r="K145" s="67">
        <f t="shared" si="51"/>
        <v>2.3012000000000001</v>
      </c>
    </row>
    <row r="146" spans="1:19" s="18" customFormat="1" ht="50.4" customHeight="1" x14ac:dyDescent="0.25">
      <c r="A146" s="377"/>
      <c r="B146" s="116">
        <v>0</v>
      </c>
      <c r="C146" s="201">
        <f t="shared" si="50"/>
        <v>1.0599499999999999</v>
      </c>
      <c r="D146" s="30" t="s">
        <v>297</v>
      </c>
      <c r="E146" s="271">
        <v>1200</v>
      </c>
      <c r="F146" s="201">
        <v>1.0599499999999999</v>
      </c>
      <c r="G146" s="104">
        <v>0</v>
      </c>
      <c r="H146" s="104">
        <v>0</v>
      </c>
      <c r="I146" s="9" t="str">
        <f t="shared" si="48"/>
        <v>Шприц без голки / Sterile hypodermic syringes for single use without needie of 2ml, №1200 в коробі. Exp.date 13.01.2026  n/а</v>
      </c>
      <c r="J146" s="65">
        <f t="shared" si="49"/>
        <v>0</v>
      </c>
      <c r="K146" s="183">
        <f>F146</f>
        <v>1.0599499999999999</v>
      </c>
    </row>
    <row r="147" spans="1:19" s="18" customFormat="1" ht="52.2" customHeight="1" x14ac:dyDescent="0.25">
      <c r="A147" s="377"/>
      <c r="B147" s="116">
        <v>0</v>
      </c>
      <c r="C147" s="201">
        <f>F147:F147</f>
        <v>0.2</v>
      </c>
      <c r="D147" s="30" t="s">
        <v>298</v>
      </c>
      <c r="E147" s="271">
        <v>200</v>
      </c>
      <c r="F147" s="201">
        <v>0.2</v>
      </c>
      <c r="G147" s="104">
        <v>0</v>
      </c>
      <c r="H147" s="104">
        <v>0</v>
      </c>
      <c r="I147" s="9" t="str">
        <f t="shared" si="48"/>
        <v xml:space="preserve">Глюкоза/Glucos Braun 50mg/ml 1000ml №1000ml №10 в коробі.Exp.date 31.08.2024  n/а </v>
      </c>
      <c r="J147" s="65">
        <f t="shared" si="49"/>
        <v>0</v>
      </c>
      <c r="K147" s="70">
        <f>F147</f>
        <v>0.2</v>
      </c>
    </row>
    <row r="148" spans="1:19" s="18" customFormat="1" ht="47.4" customHeight="1" thickBot="1" x14ac:dyDescent="0.3">
      <c r="A148" s="377"/>
      <c r="B148" s="116">
        <v>0</v>
      </c>
      <c r="C148" s="201">
        <f t="shared" si="50"/>
        <v>962.99760000000003</v>
      </c>
      <c r="D148" s="30" t="s">
        <v>299</v>
      </c>
      <c r="E148" s="271">
        <v>600</v>
      </c>
      <c r="F148" s="201">
        <v>962.99760000000003</v>
      </c>
      <c r="G148" s="104">
        <v>0</v>
      </c>
      <c r="H148" s="104">
        <v>0</v>
      </c>
      <c r="I148" s="9" t="str">
        <f t="shared" si="48"/>
        <v>Дтитяче харчування / Nutritional supplement Eleva Green Stage 900g  (domed lids) №6 в коробі. Exp.date 11.10.2024 900g</v>
      </c>
      <c r="J148" s="65">
        <f t="shared" si="49"/>
        <v>0</v>
      </c>
      <c r="K148" s="183">
        <f>F148</f>
        <v>962.99760000000003</v>
      </c>
    </row>
    <row r="149" spans="1:19" s="18" customFormat="1" ht="25.2" customHeight="1" x14ac:dyDescent="0.25">
      <c r="A149" s="374" t="s">
        <v>300</v>
      </c>
      <c r="B149" s="391" t="s">
        <v>15</v>
      </c>
      <c r="C149" s="389"/>
      <c r="D149" s="389"/>
      <c r="E149" s="390"/>
      <c r="F149" s="211">
        <f>F150+F151+F152+F153</f>
        <v>389.54168999999996</v>
      </c>
      <c r="G149" s="388" t="s">
        <v>15</v>
      </c>
      <c r="H149" s="389"/>
      <c r="I149" s="390"/>
      <c r="J149" s="177">
        <f>J150+J244</f>
        <v>289.404</v>
      </c>
      <c r="K149" s="90">
        <f>K150+K244</f>
        <v>0</v>
      </c>
    </row>
    <row r="150" spans="1:19" ht="54.75" customHeight="1" x14ac:dyDescent="0.25">
      <c r="A150" s="375"/>
      <c r="B150" s="119"/>
      <c r="C150" s="221">
        <f>F149:F150</f>
        <v>289.404</v>
      </c>
      <c r="D150" s="30" t="s">
        <v>301</v>
      </c>
      <c r="E150" s="259">
        <v>200</v>
      </c>
      <c r="F150" s="201">
        <v>289.404</v>
      </c>
      <c r="G150" s="114">
        <v>0</v>
      </c>
      <c r="H150" s="104">
        <v>0</v>
      </c>
      <c r="I150" s="9" t="str">
        <f t="shared" ref="I150:I153" si="52">D150</f>
        <v xml:space="preserve">Система для трансфузії  крові (180см) 20шттук в коробі /GRA SET UNV BLD W/180 FLT ISS DE (20 pieces in box) </v>
      </c>
      <c r="J150" s="171">
        <f t="shared" ref="J150:J151" si="53">F150</f>
        <v>289.404</v>
      </c>
      <c r="K150" s="138">
        <v>0</v>
      </c>
    </row>
    <row r="151" spans="1:19" ht="48" customHeight="1" x14ac:dyDescent="0.25">
      <c r="A151" s="375"/>
      <c r="B151" s="116"/>
      <c r="C151" s="222">
        <f>F149:F151</f>
        <v>44.156999999999996</v>
      </c>
      <c r="D151" s="30" t="s">
        <v>302</v>
      </c>
      <c r="E151" s="45">
        <v>150</v>
      </c>
      <c r="F151" s="201">
        <v>44.156999999999996</v>
      </c>
      <c r="G151" s="104">
        <v>0</v>
      </c>
      <c r="H151" s="104">
        <v>0</v>
      </c>
      <c r="I151" s="9" t="str">
        <f t="shared" si="52"/>
        <v>Мінірально- вітамінна  підтримка (180 в плішці)/MultipleMicronurtient Supplement PreNatals (180 pieces in bottle)</v>
      </c>
      <c r="J151" s="171">
        <f t="shared" si="53"/>
        <v>44.156999999999996</v>
      </c>
      <c r="K151" s="138">
        <v>0</v>
      </c>
    </row>
    <row r="152" spans="1:19" ht="48" customHeight="1" x14ac:dyDescent="0.25">
      <c r="A152" s="375"/>
      <c r="B152" s="116"/>
      <c r="C152" s="222">
        <f>F150:F152</f>
        <v>15.696719999999999</v>
      </c>
      <c r="D152" s="30" t="s">
        <v>303</v>
      </c>
      <c r="E152" s="45">
        <v>3</v>
      </c>
      <c r="F152" s="201">
        <v>15.696719999999999</v>
      </c>
      <c r="G152" s="104"/>
      <c r="H152" s="104"/>
      <c r="I152" s="9" t="str">
        <f t="shared" si="52"/>
        <v>Шприц 2,0мл з голкою (2000штв коробці) S2 2ml LS 18XI-1/2 BPN (100in case/ 20 cases in box)</v>
      </c>
      <c r="J152" s="171"/>
      <c r="K152" s="138"/>
    </row>
    <row r="153" spans="1:19" ht="48" customHeight="1" x14ac:dyDescent="0.25">
      <c r="A153" s="375"/>
      <c r="B153" s="116"/>
      <c r="C153" s="222">
        <f>F146:F153</f>
        <v>40.283969999999997</v>
      </c>
      <c r="D153" s="47" t="s">
        <v>304</v>
      </c>
      <c r="E153" s="271">
        <v>3</v>
      </c>
      <c r="F153" s="201">
        <v>40.283969999999997</v>
      </c>
      <c r="G153" s="104">
        <v>0</v>
      </c>
      <c r="H153" s="104">
        <v>0</v>
      </c>
      <c r="I153" s="9" t="str">
        <f t="shared" si="52"/>
        <v>Голка для спинальної пункції 27G (0,4ммх103мм) по 25шт в коробці / WNIT SP SET 27GA 4,06IN (200 in box)</v>
      </c>
      <c r="J153" s="171">
        <f t="shared" ref="J153" si="54">F153</f>
        <v>40.283969999999997</v>
      </c>
      <c r="K153" s="138"/>
    </row>
    <row r="154" spans="1:19" s="121" customFormat="1" ht="18" customHeight="1" x14ac:dyDescent="0.35">
      <c r="A154" s="392" t="s">
        <v>306</v>
      </c>
      <c r="B154" s="391" t="s">
        <v>15</v>
      </c>
      <c r="C154" s="389"/>
      <c r="D154" s="389"/>
      <c r="E154" s="390"/>
      <c r="F154" s="211">
        <f>F155</f>
        <v>5.0464700000000002</v>
      </c>
      <c r="G154" s="388" t="s">
        <v>15</v>
      </c>
      <c r="H154" s="389"/>
      <c r="I154" s="390"/>
      <c r="J154" s="177">
        <f>J155+J249</f>
        <v>5.0464700000000002</v>
      </c>
      <c r="K154" s="90">
        <f>K155+K249</f>
        <v>0</v>
      </c>
      <c r="L154" s="126"/>
      <c r="M154" s="126"/>
      <c r="N154" s="18"/>
      <c r="O154" s="18"/>
      <c r="P154" s="18"/>
      <c r="Q154" s="18"/>
      <c r="R154" s="18"/>
      <c r="S154" s="126"/>
    </row>
    <row r="155" spans="1:19" s="121" customFormat="1" ht="63" customHeight="1" thickBot="1" x14ac:dyDescent="0.4">
      <c r="A155" s="392"/>
      <c r="B155" s="119"/>
      <c r="C155" s="270">
        <f>F154:F155</f>
        <v>5.0464700000000002</v>
      </c>
      <c r="D155" s="30" t="s">
        <v>307</v>
      </c>
      <c r="E155" s="259">
        <v>30</v>
      </c>
      <c r="F155" s="201">
        <v>5.0464700000000002</v>
      </c>
      <c r="G155" s="114">
        <v>0</v>
      </c>
      <c r="H155" s="104">
        <v>0</v>
      </c>
      <c r="I155" s="9" t="str">
        <f t="shared" ref="I155:I161" si="55">D155</f>
        <v>Шнактивованавакцина вірусу грипу/Seasonalinfluenza vaccine norhern hemisphere 10 dose серія Q50523004 термін прид. 30.07.2024</v>
      </c>
      <c r="J155" s="171">
        <f t="shared" ref="J155:J161" si="56">F155</f>
        <v>5.0464700000000002</v>
      </c>
      <c r="K155" s="138">
        <v>0</v>
      </c>
      <c r="L155" s="126"/>
      <c r="M155" s="126"/>
      <c r="N155" s="18"/>
      <c r="O155" s="18"/>
      <c r="P155" s="18"/>
      <c r="Q155" s="18"/>
      <c r="R155" s="18"/>
      <c r="S155" s="126"/>
    </row>
    <row r="156" spans="1:19" s="6" customFormat="1" ht="26.25" customHeight="1" thickBot="1" x14ac:dyDescent="0.35">
      <c r="A156" s="372" t="s">
        <v>325</v>
      </c>
      <c r="B156" s="393" t="s">
        <v>14</v>
      </c>
      <c r="C156" s="394"/>
      <c r="D156" s="394"/>
      <c r="E156" s="395"/>
      <c r="F156" s="209">
        <f>F157+F158+F159+F160+F161+F162+F163+F164</f>
        <v>68.442999999999998</v>
      </c>
      <c r="G156" s="388" t="s">
        <v>14</v>
      </c>
      <c r="H156" s="389"/>
      <c r="I156" s="390"/>
      <c r="J156" s="235">
        <f>J162+J163+J164</f>
        <v>8.7160000000000011</v>
      </c>
      <c r="K156" s="57">
        <v>0</v>
      </c>
      <c r="L156" s="59"/>
      <c r="M156" s="62"/>
      <c r="N156" s="18"/>
      <c r="O156" s="18"/>
      <c r="P156" s="18"/>
      <c r="Q156" s="18"/>
      <c r="R156" s="18"/>
      <c r="S156" s="59"/>
    </row>
    <row r="157" spans="1:19" s="6" customFormat="1" ht="34.200000000000003" customHeight="1" x14ac:dyDescent="0.3">
      <c r="A157" s="373"/>
      <c r="B157" s="265"/>
      <c r="C157" s="270">
        <f>F156:F157</f>
        <v>5.9290000000000003</v>
      </c>
      <c r="D157" s="266" t="s">
        <v>326</v>
      </c>
      <c r="E157" s="267">
        <v>2</v>
      </c>
      <c r="F157" s="244">
        <v>5.9290000000000003</v>
      </c>
      <c r="G157" s="236"/>
      <c r="H157" s="237"/>
      <c r="I157" s="9" t="str">
        <f t="shared" si="55"/>
        <v>Ваги механичнідля дорослих 0-150 кг, ділення шкали по 500г</v>
      </c>
      <c r="J157" s="171">
        <f t="shared" si="56"/>
        <v>5.9290000000000003</v>
      </c>
      <c r="K157" s="86"/>
      <c r="L157" s="59"/>
      <c r="M157" s="62"/>
      <c r="N157" s="18"/>
      <c r="O157" s="18"/>
      <c r="P157" s="18"/>
      <c r="Q157" s="18"/>
      <c r="R157" s="18"/>
      <c r="S157" s="59"/>
    </row>
    <row r="158" spans="1:19" s="6" customFormat="1" ht="42.6" customHeight="1" x14ac:dyDescent="0.3">
      <c r="A158" s="373"/>
      <c r="B158" s="265"/>
      <c r="C158" s="270">
        <f t="shared" ref="C158:C164" si="57">F157:F158</f>
        <v>20.434000000000001</v>
      </c>
      <c r="D158" s="268" t="s">
        <v>327</v>
      </c>
      <c r="E158" s="267">
        <v>3</v>
      </c>
      <c r="F158" s="244">
        <v>20.434000000000001</v>
      </c>
      <c r="G158" s="236"/>
      <c r="H158" s="237"/>
      <c r="I158" s="9" t="str">
        <f t="shared" si="55"/>
        <v>EEMDFPOE01-FINGERTIP PULSE OXIMETER (Mightysat 9707)</v>
      </c>
      <c r="J158" s="171">
        <f t="shared" si="56"/>
        <v>20.434000000000001</v>
      </c>
      <c r="K158" s="86"/>
      <c r="L158" s="59"/>
      <c r="M158" s="62"/>
      <c r="N158" s="18"/>
      <c r="O158" s="18"/>
      <c r="P158" s="18"/>
      <c r="Q158" s="18"/>
      <c r="R158" s="18"/>
      <c r="S158" s="59"/>
    </row>
    <row r="159" spans="1:19" s="6" customFormat="1" ht="39.6" customHeight="1" x14ac:dyDescent="0.3">
      <c r="A159" s="373"/>
      <c r="B159" s="265"/>
      <c r="C159" s="270">
        <f t="shared" si="57"/>
        <v>13.891</v>
      </c>
      <c r="D159" s="268" t="s">
        <v>328</v>
      </c>
      <c r="E159" s="267">
        <v>20</v>
      </c>
      <c r="F159" s="244">
        <v>13.891</v>
      </c>
      <c r="G159" s="236"/>
      <c r="H159" s="237"/>
      <c r="I159" s="9" t="str">
        <f t="shared" si="55"/>
        <v>Тримач для флакону 500мл., настінний-рукоятка</v>
      </c>
      <c r="J159" s="171">
        <f t="shared" si="56"/>
        <v>13.891</v>
      </c>
      <c r="K159" s="86"/>
      <c r="L159" s="59"/>
      <c r="M159" s="62"/>
      <c r="N159" s="18"/>
      <c r="O159" s="18"/>
      <c r="P159" s="18"/>
      <c r="Q159" s="18"/>
      <c r="R159" s="18"/>
      <c r="S159" s="59"/>
    </row>
    <row r="160" spans="1:19" s="6" customFormat="1" ht="46.2" customHeight="1" x14ac:dyDescent="0.3">
      <c r="A160" s="373"/>
      <c r="B160" s="265"/>
      <c r="C160" s="270">
        <f t="shared" si="57"/>
        <v>17.581</v>
      </c>
      <c r="D160" s="264" t="s">
        <v>329</v>
      </c>
      <c r="E160" s="267">
        <v>2</v>
      </c>
      <c r="F160" s="244">
        <v>17.581</v>
      </c>
      <c r="G160" s="236"/>
      <c r="H160" s="237"/>
      <c r="I160" s="9" t="str">
        <f t="shared" si="55"/>
        <v>EHOETABE3DF TABLE, EXAMINATTON dismount, or fold, adjustable head lift (кушетка)</v>
      </c>
      <c r="J160" s="171">
        <f t="shared" si="56"/>
        <v>17.581</v>
      </c>
      <c r="K160" s="86"/>
      <c r="L160" s="59"/>
      <c r="M160" s="62"/>
      <c r="N160" s="18"/>
      <c r="O160" s="18"/>
      <c r="P160" s="18"/>
      <c r="Q160" s="18"/>
      <c r="R160" s="18"/>
      <c r="S160" s="59"/>
    </row>
    <row r="161" spans="1:19" s="6" customFormat="1" ht="57" customHeight="1" x14ac:dyDescent="0.3">
      <c r="A161" s="373"/>
      <c r="B161" s="265"/>
      <c r="C161" s="270">
        <f t="shared" si="57"/>
        <v>1.8919999999999999</v>
      </c>
      <c r="D161" s="269" t="s">
        <v>330</v>
      </c>
      <c r="E161" s="267">
        <v>2</v>
      </c>
      <c r="F161" s="244">
        <v>1.8919999999999999</v>
      </c>
      <c r="G161" s="236"/>
      <c r="H161" s="237"/>
      <c r="I161" s="9" t="str">
        <f t="shared" si="55"/>
        <v>ELINCLOG39-CLOGS, operatingtheatre, polyuretane,washable, pair 38-39</v>
      </c>
      <c r="J161" s="171">
        <f t="shared" si="56"/>
        <v>1.8919999999999999</v>
      </c>
      <c r="K161" s="86"/>
      <c r="L161" s="59"/>
      <c r="M161" s="62"/>
      <c r="N161" s="18"/>
      <c r="O161" s="18"/>
      <c r="P161" s="18"/>
      <c r="Q161" s="18"/>
      <c r="R161" s="18"/>
      <c r="S161" s="59"/>
    </row>
    <row r="162" spans="1:19" s="6" customFormat="1" ht="56.4" customHeight="1" x14ac:dyDescent="0.3">
      <c r="A162" s="373"/>
      <c r="B162" s="196">
        <f>-E1087</f>
        <v>0</v>
      </c>
      <c r="C162" s="270">
        <f t="shared" si="57"/>
        <v>1.8919999999999999</v>
      </c>
      <c r="D162" s="269" t="s">
        <v>331</v>
      </c>
      <c r="E162" s="176">
        <v>2</v>
      </c>
      <c r="F162" s="210">
        <v>1.8919999999999999</v>
      </c>
      <c r="G162" s="104">
        <v>0</v>
      </c>
      <c r="H162" s="162" t="s">
        <v>193</v>
      </c>
      <c r="I162" s="9" t="str">
        <f t="shared" ref="I162:I164" si="58">D162</f>
        <v>ELINCLOG39-CLOGS, operatingtheatre, polyuretane,washable, pair 44-45</v>
      </c>
      <c r="J162" s="171">
        <f t="shared" ref="J162:J164" si="59">F162</f>
        <v>1.8919999999999999</v>
      </c>
      <c r="K162" s="54">
        <v>0</v>
      </c>
      <c r="L162" s="59"/>
      <c r="M162" s="59"/>
      <c r="N162" s="18"/>
      <c r="O162" s="18"/>
      <c r="P162" s="18"/>
      <c r="Q162" s="18"/>
      <c r="R162" s="18"/>
      <c r="S162" s="59"/>
    </row>
    <row r="163" spans="1:19" s="6" customFormat="1" ht="43.8" customHeight="1" x14ac:dyDescent="0.3">
      <c r="A163" s="373"/>
      <c r="B163" s="116">
        <v>0</v>
      </c>
      <c r="C163" s="270">
        <f t="shared" si="57"/>
        <v>0.48</v>
      </c>
      <c r="D163" s="269" t="s">
        <v>332</v>
      </c>
      <c r="E163" s="114">
        <v>200</v>
      </c>
      <c r="F163" s="201">
        <v>0.48</v>
      </c>
      <c r="G163" s="104">
        <v>0</v>
      </c>
      <c r="H163" s="104">
        <v>0</v>
      </c>
      <c r="I163" s="9" t="str">
        <f t="shared" si="58"/>
        <v>SMSURAZOLD-RAZOR, disposable (cтанок для гоління)</v>
      </c>
      <c r="J163" s="182">
        <f t="shared" si="59"/>
        <v>0.48</v>
      </c>
      <c r="K163" s="54">
        <v>0</v>
      </c>
      <c r="L163" s="59"/>
      <c r="M163" s="59"/>
      <c r="N163" s="18"/>
      <c r="O163" s="18"/>
      <c r="P163" s="18"/>
      <c r="Q163" s="18"/>
      <c r="R163" s="18"/>
      <c r="S163" s="59"/>
    </row>
    <row r="164" spans="1:19" s="6" customFormat="1" ht="34.799999999999997" customHeight="1" thickBot="1" x14ac:dyDescent="0.35">
      <c r="A164" s="373"/>
      <c r="B164" s="116">
        <v>0</v>
      </c>
      <c r="C164" s="280">
        <f t="shared" si="57"/>
        <v>6.3440000000000003</v>
      </c>
      <c r="D164" s="281" t="s">
        <v>333</v>
      </c>
      <c r="E164" s="114">
        <v>2</v>
      </c>
      <c r="F164" s="180">
        <v>6.3440000000000003</v>
      </c>
      <c r="G164" s="105">
        <v>0</v>
      </c>
      <c r="H164" s="105">
        <v>0</v>
      </c>
      <c r="I164" s="13" t="str">
        <f t="shared" si="58"/>
        <v>EEMDSЗРУ2-ЕЛЕКТРОННИЙ СФІГМОМАНОМЕТР</v>
      </c>
      <c r="J164" s="175">
        <f t="shared" si="59"/>
        <v>6.3440000000000003</v>
      </c>
      <c r="K164" s="272">
        <f t="shared" ref="K164" si="60">F164-J164</f>
        <v>0</v>
      </c>
      <c r="L164" s="59"/>
      <c r="M164" s="59"/>
      <c r="N164" s="18"/>
      <c r="O164" s="18"/>
      <c r="P164" s="18"/>
      <c r="Q164" s="18"/>
      <c r="R164" s="18"/>
      <c r="S164" s="59"/>
    </row>
    <row r="165" spans="1:19" ht="25.5" customHeight="1" thickBot="1" x14ac:dyDescent="0.3">
      <c r="A165" s="373"/>
      <c r="B165" s="396" t="s">
        <v>15</v>
      </c>
      <c r="C165" s="397"/>
      <c r="D165" s="398"/>
      <c r="E165" s="397"/>
      <c r="F165" s="279">
        <f>F166+F167+F168+F169+F170+F171+F172+F173+F174+F175+F176+F177+F178+F179+F180+F181+F182+F183+F184+F185+F186+F187+F188+F189+F190+F191+F192+F193+F194+F195+F196+F197+F198+F199+F200+F201+F202+F203+F204+F205+F206+F207+F208+F209+F210+F211+F212+F213+F214+F215+F216+F217+F218+F219+F220+F221+F222+F223+F224+F225+F226+F227+F228+F229+F230+F231+F232+F233+F234+F235+F236+F237</f>
        <v>327.58600000000007</v>
      </c>
      <c r="G165" s="399" t="s">
        <v>15</v>
      </c>
      <c r="H165" s="400"/>
      <c r="I165" s="401"/>
      <c r="J165" s="276" t="e">
        <f>#REF!</f>
        <v>#REF!</v>
      </c>
      <c r="K165" s="277" t="e">
        <f>#REF!</f>
        <v>#REF!</v>
      </c>
    </row>
    <row r="166" spans="1:19" s="18" customFormat="1" ht="34.5" customHeight="1" x14ac:dyDescent="0.25">
      <c r="A166" s="373"/>
      <c r="B166" s="278">
        <v>0</v>
      </c>
      <c r="C166" s="282">
        <f>F165:F166</f>
        <v>1.6459999999999999</v>
      </c>
      <c r="D166" s="251" t="s">
        <v>334</v>
      </c>
      <c r="E166" s="285">
        <v>50</v>
      </c>
      <c r="F166" s="206">
        <v>1.6459999999999999</v>
      </c>
      <c r="G166" s="273">
        <v>0</v>
      </c>
      <c r="H166" s="273">
        <v>0</v>
      </c>
      <c r="I166" s="274" t="str">
        <f t="shared" ref="I166:I171" si="61">D166</f>
        <v>Гідрокортизону ацетат 1% мазь, тюбик, 15-20г</v>
      </c>
      <c r="J166" s="275">
        <f t="shared" ref="J166:J168" si="62">F166-K166</f>
        <v>0</v>
      </c>
      <c r="K166" s="86">
        <f>F166</f>
        <v>1.6459999999999999</v>
      </c>
    </row>
    <row r="167" spans="1:19" s="18" customFormat="1" ht="31.2" customHeight="1" x14ac:dyDescent="0.25">
      <c r="A167" s="373"/>
      <c r="B167" s="116">
        <v>0</v>
      </c>
      <c r="C167" s="283">
        <f t="shared" ref="C167:C172" si="63">F166:F167</f>
        <v>7.8049999999999997</v>
      </c>
      <c r="D167" s="290" t="s">
        <v>335</v>
      </c>
      <c r="E167" s="286">
        <v>50</v>
      </c>
      <c r="F167" s="201">
        <v>7.8049999999999997</v>
      </c>
      <c r="G167" s="104">
        <v>0</v>
      </c>
      <c r="H167" s="104">
        <v>0</v>
      </c>
      <c r="I167" s="9" t="str">
        <f t="shared" si="61"/>
        <v>Хлорид натрію, 0,9%, 100мл в еластичному контейнері без ПВХ</v>
      </c>
      <c r="J167" s="65">
        <f t="shared" si="62"/>
        <v>0</v>
      </c>
      <c r="K167" s="54">
        <f>F167</f>
        <v>7.8049999999999997</v>
      </c>
    </row>
    <row r="168" spans="1:19" s="18" customFormat="1" ht="33" customHeight="1" x14ac:dyDescent="0.25">
      <c r="A168" s="373"/>
      <c r="B168" s="116">
        <v>0</v>
      </c>
      <c r="C168" s="283">
        <f t="shared" si="63"/>
        <v>5.5490000000000004</v>
      </c>
      <c r="D168" s="290" t="s">
        <v>336</v>
      </c>
      <c r="E168" s="286">
        <v>200</v>
      </c>
      <c r="F168" s="212">
        <v>5.5490000000000004</v>
      </c>
      <c r="G168" s="104">
        <v>0</v>
      </c>
      <c r="H168" s="104">
        <v>0</v>
      </c>
      <c r="I168" s="9" t="str">
        <f t="shared" si="61"/>
        <v>Хлорид натрію, 0,9%, 500мл в еластичному контейнері без ПВХ</v>
      </c>
      <c r="J168" s="65">
        <f t="shared" si="62"/>
        <v>0</v>
      </c>
      <c r="K168" s="54">
        <f>F168</f>
        <v>5.5490000000000004</v>
      </c>
    </row>
    <row r="169" spans="1:19" s="18" customFormat="1" ht="36" customHeight="1" thickBot="1" x14ac:dyDescent="0.3">
      <c r="A169" s="373"/>
      <c r="B169" s="116">
        <v>0</v>
      </c>
      <c r="C169" s="283">
        <f t="shared" si="63"/>
        <v>11.282</v>
      </c>
      <c r="D169" s="287" t="s">
        <v>337</v>
      </c>
      <c r="E169" s="286">
        <v>550</v>
      </c>
      <c r="F169" s="212">
        <v>11.282</v>
      </c>
      <c r="G169" s="104">
        <v>0</v>
      </c>
      <c r="H169" s="104">
        <v>0</v>
      </c>
      <c r="I169" s="9" t="str">
        <f t="shared" si="61"/>
        <v>Цефтріаксон натрію, 1г, порошок для приготування розчину у флаконі</v>
      </c>
      <c r="J169" s="65">
        <f>F169-K169</f>
        <v>7.8417899999999996</v>
      </c>
      <c r="K169" s="66">
        <v>3.44021</v>
      </c>
    </row>
    <row r="170" spans="1:19" s="18" customFormat="1" ht="21.6" customHeight="1" x14ac:dyDescent="0.25">
      <c r="A170" s="373"/>
      <c r="B170" s="116">
        <v>0</v>
      </c>
      <c r="C170" s="283">
        <f t="shared" si="63"/>
        <v>5.4720000000000004</v>
      </c>
      <c r="D170" s="291" t="s">
        <v>338</v>
      </c>
      <c r="E170" s="286">
        <v>350</v>
      </c>
      <c r="F170" s="212">
        <v>5.4720000000000004</v>
      </c>
      <c r="G170" s="104">
        <v>0</v>
      </c>
      <c r="H170" s="104">
        <v>0</v>
      </c>
      <c r="I170" s="9" t="str">
        <f t="shared" si="61"/>
        <v>Дексаметазону фосфат 4 мг/мл, 1мл</v>
      </c>
      <c r="J170" s="65">
        <f t="shared" ref="J170:J182" si="64">F170-K170</f>
        <v>3.8531100000000005</v>
      </c>
      <c r="K170" s="66">
        <v>1.6188899999999999</v>
      </c>
    </row>
    <row r="171" spans="1:19" s="18" customFormat="1" ht="34.200000000000003" customHeight="1" thickBot="1" x14ac:dyDescent="0.3">
      <c r="A171" s="373"/>
      <c r="B171" s="116">
        <v>0</v>
      </c>
      <c r="C171" s="283">
        <f t="shared" si="63"/>
        <v>0.88300000000000001</v>
      </c>
      <c r="D171" s="287" t="s">
        <v>339</v>
      </c>
      <c r="E171" s="286">
        <v>50</v>
      </c>
      <c r="F171" s="212">
        <v>0.88300000000000001</v>
      </c>
      <c r="G171" s="104">
        <v>0</v>
      </c>
      <c r="H171" s="104">
        <v>0</v>
      </c>
      <c r="I171" s="9" t="str">
        <f t="shared" si="61"/>
        <v>Епінефрину (адреналіну) тартрат, 1мг/мл розчин для ін’єкцій 1 мл ампула</v>
      </c>
      <c r="J171" s="65">
        <f t="shared" si="64"/>
        <v>0.752</v>
      </c>
      <c r="K171" s="66">
        <v>0.13100000000000001</v>
      </c>
    </row>
    <row r="172" spans="1:19" s="18" customFormat="1" ht="28.8" customHeight="1" x14ac:dyDescent="0.25">
      <c r="A172" s="373"/>
      <c r="B172" s="116">
        <v>0</v>
      </c>
      <c r="C172" s="284">
        <f t="shared" si="63"/>
        <v>3.9809999999999999</v>
      </c>
      <c r="D172" s="292" t="s">
        <v>340</v>
      </c>
      <c r="E172" s="286">
        <v>52</v>
      </c>
      <c r="F172" s="212">
        <v>3.9809999999999999</v>
      </c>
      <c r="G172" s="104">
        <v>0</v>
      </c>
      <c r="H172" s="104">
        <v>0</v>
      </c>
      <c r="I172" s="9" t="str">
        <f>D172</f>
        <v>ЛАБЕТАЛОЛ гідрохлорид, 5 мг/мл, 20мл амп.</v>
      </c>
      <c r="J172" s="65">
        <f t="shared" si="64"/>
        <v>0</v>
      </c>
      <c r="K172" s="66">
        <f>F172</f>
        <v>3.9809999999999999</v>
      </c>
    </row>
    <row r="173" spans="1:19" s="18" customFormat="1" ht="19.8" customHeight="1" thickBot="1" x14ac:dyDescent="0.3">
      <c r="A173" s="373"/>
      <c r="B173" s="116">
        <v>0</v>
      </c>
      <c r="C173" s="283">
        <f>F171:F173</f>
        <v>1.3859999999999999</v>
      </c>
      <c r="D173" s="287" t="s">
        <v>341</v>
      </c>
      <c r="E173" s="286">
        <v>135</v>
      </c>
      <c r="F173" s="212">
        <v>1.3859999999999999</v>
      </c>
      <c r="G173" s="104">
        <v>0</v>
      </c>
      <c r="H173" s="104">
        <v>0</v>
      </c>
      <c r="I173" s="9" t="str">
        <f t="shared" ref="I173:I236" si="65">D173</f>
        <v>ОКСИТОЦИН, 10 МО/мл, 1 мл амп.</v>
      </c>
      <c r="J173" s="65">
        <f t="shared" si="64"/>
        <v>0</v>
      </c>
      <c r="K173" s="66">
        <f>F173</f>
        <v>1.3859999999999999</v>
      </c>
    </row>
    <row r="174" spans="1:19" s="18" customFormat="1" ht="33" customHeight="1" thickBot="1" x14ac:dyDescent="0.3">
      <c r="A174" s="373"/>
      <c r="B174" s="116">
        <v>0</v>
      </c>
      <c r="C174" s="283">
        <f t="shared" ref="C174:C180" si="66">F173:F174</f>
        <v>9.2690000000000001</v>
      </c>
      <c r="D174" s="288" t="s">
        <v>342</v>
      </c>
      <c r="E174" s="286">
        <v>200</v>
      </c>
      <c r="F174" s="212">
        <v>9.2690000000000001</v>
      </c>
      <c r="G174" s="104">
        <v>0</v>
      </c>
      <c r="H174" s="104">
        <v>0</v>
      </c>
      <c r="I174" s="9" t="str">
        <f t="shared" si="65"/>
        <v>Парацетамол (ацетамінофен), 10 мг/мл, 100мл еластичний контейнер без ПВХ</v>
      </c>
      <c r="J174" s="65">
        <f t="shared" si="64"/>
        <v>0</v>
      </c>
      <c r="K174" s="66">
        <f>F174</f>
        <v>9.2690000000000001</v>
      </c>
    </row>
    <row r="175" spans="1:19" s="18" customFormat="1" ht="18" customHeight="1" thickBot="1" x14ac:dyDescent="0.3">
      <c r="A175" s="373"/>
      <c r="B175" s="116">
        <v>0</v>
      </c>
      <c r="C175" s="283">
        <f t="shared" si="66"/>
        <v>0.17599999999999999</v>
      </c>
      <c r="D175" s="288" t="s">
        <v>343</v>
      </c>
      <c r="E175" s="286">
        <v>200</v>
      </c>
      <c r="F175" s="201">
        <v>0.17599999999999999</v>
      </c>
      <c r="G175" s="104">
        <v>0</v>
      </c>
      <c r="H175" s="104">
        <v>0</v>
      </c>
      <c r="I175" s="9" t="str">
        <f t="shared" si="65"/>
        <v>Доксициклін 100мг табл.</v>
      </c>
      <c r="J175" s="65">
        <f t="shared" si="64"/>
        <v>5.5149999999999991E-2</v>
      </c>
      <c r="K175" s="67">
        <v>0.12085</v>
      </c>
    </row>
    <row r="176" spans="1:19" s="18" customFormat="1" ht="25.2" customHeight="1" thickBot="1" x14ac:dyDescent="0.3">
      <c r="A176" s="373"/>
      <c r="B176" s="116">
        <v>0</v>
      </c>
      <c r="C176" s="283">
        <f t="shared" si="66"/>
        <v>1.202</v>
      </c>
      <c r="D176" s="288" t="s">
        <v>344</v>
      </c>
      <c r="E176" s="286">
        <v>1000</v>
      </c>
      <c r="F176" s="201">
        <v>1.202</v>
      </c>
      <c r="G176" s="104">
        <v>0</v>
      </c>
      <c r="H176" s="104">
        <v>0</v>
      </c>
      <c r="I176" s="9" t="str">
        <f t="shared" si="65"/>
        <v>ЕНАЛАПРИЛУ малеат, 20 мг табл.</v>
      </c>
      <c r="J176" s="65">
        <f t="shared" si="64"/>
        <v>0</v>
      </c>
      <c r="K176" s="67">
        <f>F176</f>
        <v>1.202</v>
      </c>
    </row>
    <row r="177" spans="1:19" s="18" customFormat="1" ht="22.2" customHeight="1" thickBot="1" x14ac:dyDescent="0.3">
      <c r="A177" s="373"/>
      <c r="B177" s="116">
        <v>0</v>
      </c>
      <c r="C177" s="283">
        <f t="shared" si="66"/>
        <v>0.55500000000000005</v>
      </c>
      <c r="D177" s="288" t="s">
        <v>345</v>
      </c>
      <c r="E177" s="286">
        <v>1000</v>
      </c>
      <c r="F177" s="201">
        <v>0.55500000000000005</v>
      </c>
      <c r="G177" s="104">
        <v>0</v>
      </c>
      <c r="H177" s="104">
        <v>0</v>
      </c>
      <c r="I177" s="9" t="str">
        <f t="shared" si="65"/>
        <v>ЕНАЛАПРИЛУ малеат, 5 мг табл.</v>
      </c>
      <c r="J177" s="65">
        <f t="shared" si="64"/>
        <v>0</v>
      </c>
      <c r="K177" s="67">
        <f t="shared" ref="K177:K179" si="67">F177</f>
        <v>0.55500000000000005</v>
      </c>
    </row>
    <row r="178" spans="1:19" s="18" customFormat="1" ht="21.6" customHeight="1" thickBot="1" x14ac:dyDescent="0.3">
      <c r="A178" s="373"/>
      <c r="B178" s="116">
        <v>0</v>
      </c>
      <c r="C178" s="283">
        <f t="shared" si="66"/>
        <v>1.1679999999999999</v>
      </c>
      <c r="D178" s="288" t="s">
        <v>346</v>
      </c>
      <c r="E178" s="286">
        <v>500</v>
      </c>
      <c r="F178" s="201">
        <v>1.1679999999999999</v>
      </c>
      <c r="G178" s="104">
        <v>0</v>
      </c>
      <c r="H178" s="104">
        <v>0</v>
      </c>
      <c r="I178" s="9" t="str">
        <f t="shared" si="65"/>
        <v>ЕРИТРОМІЦИН стеарат 500мг табл.</v>
      </c>
      <c r="J178" s="65">
        <f t="shared" si="64"/>
        <v>0</v>
      </c>
      <c r="K178" s="67">
        <f t="shared" si="67"/>
        <v>1.1679999999999999</v>
      </c>
    </row>
    <row r="179" spans="1:19" s="18" customFormat="1" ht="19.8" customHeight="1" thickBot="1" x14ac:dyDescent="0.3">
      <c r="A179" s="373"/>
      <c r="B179" s="116">
        <v>0</v>
      </c>
      <c r="C179" s="283">
        <f t="shared" si="66"/>
        <v>2.7E-2</v>
      </c>
      <c r="D179" s="288" t="s">
        <v>347</v>
      </c>
      <c r="E179" s="286">
        <v>100</v>
      </c>
      <c r="F179" s="201">
        <v>2.7E-2</v>
      </c>
      <c r="G179" s="104">
        <v>0</v>
      </c>
      <c r="H179" s="104">
        <v>0</v>
      </c>
      <c r="I179" s="9" t="str">
        <f t="shared" si="65"/>
        <v>Фолієва кислота, 5мг табл.</v>
      </c>
      <c r="J179" s="65">
        <f t="shared" si="64"/>
        <v>0</v>
      </c>
      <c r="K179" s="67">
        <f t="shared" si="67"/>
        <v>2.7E-2</v>
      </c>
    </row>
    <row r="180" spans="1:19" s="18" customFormat="1" ht="25.8" customHeight="1" thickBot="1" x14ac:dyDescent="0.3">
      <c r="A180" s="373"/>
      <c r="B180" s="116">
        <v>0</v>
      </c>
      <c r="C180" s="283">
        <f t="shared" si="66"/>
        <v>9.4350000000000005</v>
      </c>
      <c r="D180" s="288" t="s">
        <v>348</v>
      </c>
      <c r="E180" s="286">
        <v>105</v>
      </c>
      <c r="F180" s="201">
        <v>9.4350000000000005</v>
      </c>
      <c r="G180" s="104">
        <v>0</v>
      </c>
      <c r="H180" s="104">
        <v>0</v>
      </c>
      <c r="I180" s="9" t="str">
        <f t="shared" si="65"/>
        <v>Фосфоміцин трометамол 3г саше</v>
      </c>
      <c r="J180" s="65">
        <f t="shared" si="64"/>
        <v>0</v>
      </c>
      <c r="K180" s="183">
        <f>F180</f>
        <v>9.4350000000000005</v>
      </c>
    </row>
    <row r="181" spans="1:19" s="18" customFormat="1" ht="25.2" customHeight="1" x14ac:dyDescent="0.25">
      <c r="A181" s="373"/>
      <c r="B181" s="116">
        <v>0</v>
      </c>
      <c r="C181" s="283">
        <f>F181:F181</f>
        <v>1.9039999999999999</v>
      </c>
      <c r="D181" s="289" t="s">
        <v>349</v>
      </c>
      <c r="E181" s="286">
        <v>3000</v>
      </c>
      <c r="F181" s="201">
        <v>1.9039999999999999</v>
      </c>
      <c r="G181" s="104">
        <v>0</v>
      </c>
      <c r="H181" s="104">
        <v>0</v>
      </c>
      <c r="I181" s="9" t="str">
        <f t="shared" si="65"/>
        <v>Ібупрофен 400 мг табл.</v>
      </c>
      <c r="J181" s="65">
        <f t="shared" si="64"/>
        <v>0</v>
      </c>
      <c r="K181" s="70">
        <f>F181</f>
        <v>1.9039999999999999</v>
      </c>
    </row>
    <row r="182" spans="1:19" s="18" customFormat="1" ht="23.4" customHeight="1" x14ac:dyDescent="0.25">
      <c r="A182" s="373"/>
      <c r="B182" s="116">
        <v>0</v>
      </c>
      <c r="C182" s="201">
        <f t="shared" ref="C182:C237" si="68">F181:F182</f>
        <v>0.63900000000000001</v>
      </c>
      <c r="D182" s="250" t="s">
        <v>350</v>
      </c>
      <c r="E182" s="271">
        <v>120</v>
      </c>
      <c r="F182" s="201">
        <v>0.63900000000000001</v>
      </c>
      <c r="G182" s="104">
        <v>0</v>
      </c>
      <c r="H182" s="104">
        <v>0</v>
      </c>
      <c r="I182" s="9" t="str">
        <f t="shared" si="65"/>
        <v>ЛАБЕТАЛОЛ гідрохлорид 200мг табл.</v>
      </c>
      <c r="J182" s="65">
        <f t="shared" si="64"/>
        <v>0</v>
      </c>
      <c r="K182" s="183">
        <f>F182</f>
        <v>0.63900000000000001</v>
      </c>
    </row>
    <row r="183" spans="1:19" s="121" customFormat="1" ht="25.2" customHeight="1" x14ac:dyDescent="0.35">
      <c r="A183" s="373"/>
      <c r="B183" s="246"/>
      <c r="C183" s="221">
        <f t="shared" si="68"/>
        <v>0.49099999999999999</v>
      </c>
      <c r="D183" s="251" t="s">
        <v>351</v>
      </c>
      <c r="E183" s="259">
        <v>330</v>
      </c>
      <c r="F183" s="201">
        <v>0.49099999999999999</v>
      </c>
      <c r="G183" s="201"/>
      <c r="H183" s="201"/>
      <c r="I183" s="9" t="str">
        <f t="shared" si="65"/>
        <v>МЕТИЛДОПА, 250 мг табл.</v>
      </c>
      <c r="J183" s="201"/>
      <c r="K183" s="201"/>
      <c r="L183" s="126"/>
      <c r="M183" s="126"/>
      <c r="N183" s="18"/>
      <c r="O183" s="18"/>
      <c r="P183" s="18"/>
      <c r="Q183" s="18"/>
      <c r="R183" s="18"/>
      <c r="S183" s="126"/>
    </row>
    <row r="184" spans="1:19" s="121" customFormat="1" ht="19.2" customHeight="1" thickBot="1" x14ac:dyDescent="0.4">
      <c r="A184" s="373"/>
      <c r="B184" s="246"/>
      <c r="C184" s="221">
        <f t="shared" si="68"/>
        <v>18.091000000000001</v>
      </c>
      <c r="D184" s="247" t="s">
        <v>352</v>
      </c>
      <c r="E184" s="259">
        <v>66</v>
      </c>
      <c r="F184" s="201">
        <v>18.091000000000001</v>
      </c>
      <c r="G184" s="201"/>
      <c r="H184" s="201"/>
      <c r="I184" s="9" t="str">
        <f t="shared" si="65"/>
        <v>Міфепристону 200 мг табл.</v>
      </c>
      <c r="J184" s="201"/>
      <c r="K184" s="249"/>
      <c r="M184" s="126"/>
      <c r="N184" s="18"/>
      <c r="O184" s="18"/>
      <c r="P184" s="18"/>
      <c r="Q184" s="18"/>
      <c r="R184" s="18"/>
      <c r="S184" s="126"/>
    </row>
    <row r="185" spans="1:19" s="121" customFormat="1" ht="21" customHeight="1" thickBot="1" x14ac:dyDescent="0.4">
      <c r="A185" s="373"/>
      <c r="B185" s="246"/>
      <c r="C185" s="221">
        <f t="shared" si="68"/>
        <v>1.79</v>
      </c>
      <c r="D185" s="245" t="s">
        <v>353</v>
      </c>
      <c r="E185" s="259">
        <v>388</v>
      </c>
      <c r="F185" s="201">
        <v>1.79</v>
      </c>
      <c r="G185" s="201"/>
      <c r="H185" s="201"/>
      <c r="I185" s="9" t="str">
        <f t="shared" si="65"/>
        <v>МІЗОПРОСТОЛ 200 мкг табл.</v>
      </c>
      <c r="J185" s="201"/>
      <c r="K185" s="249"/>
      <c r="L185" s="126"/>
      <c r="M185" s="126"/>
      <c r="N185" s="18"/>
      <c r="O185" s="18"/>
      <c r="P185" s="18"/>
      <c r="Q185" s="18"/>
      <c r="R185" s="18"/>
      <c r="S185" s="126"/>
    </row>
    <row r="186" spans="1:19" s="121" customFormat="1" ht="24.6" customHeight="1" thickBot="1" x14ac:dyDescent="0.4">
      <c r="A186" s="373"/>
      <c r="B186" s="246"/>
      <c r="C186" s="221">
        <f t="shared" si="68"/>
        <v>2.3340000000000001</v>
      </c>
      <c r="D186" s="245" t="s">
        <v>354</v>
      </c>
      <c r="E186" s="259">
        <v>1027</v>
      </c>
      <c r="F186" s="201">
        <v>2.3340000000000001</v>
      </c>
      <c r="G186" s="201"/>
      <c r="H186" s="201"/>
      <c r="I186" s="9" t="str">
        <f t="shared" si="65"/>
        <v>Омепразол 20 мг капс.</v>
      </c>
      <c r="J186" s="201"/>
      <c r="K186" s="249"/>
      <c r="L186" s="126"/>
      <c r="M186" s="126"/>
      <c r="N186" s="18"/>
      <c r="O186" s="18"/>
      <c r="P186" s="18"/>
      <c r="Q186" s="18"/>
      <c r="R186" s="18"/>
      <c r="S186" s="126"/>
    </row>
    <row r="187" spans="1:19" s="121" customFormat="1" ht="24" customHeight="1" thickBot="1" x14ac:dyDescent="0.4">
      <c r="A187" s="373"/>
      <c r="B187" s="246"/>
      <c r="C187" s="221">
        <f t="shared" si="68"/>
        <v>0.33600000000000002</v>
      </c>
      <c r="D187" s="245" t="s">
        <v>355</v>
      </c>
      <c r="E187" s="259">
        <v>1000</v>
      </c>
      <c r="F187" s="201">
        <v>0.33600000000000002</v>
      </c>
      <c r="G187" s="201"/>
      <c r="H187" s="201"/>
      <c r="I187" s="9" t="str">
        <f t="shared" si="65"/>
        <v>Преднізолон 5 мг табл.</v>
      </c>
      <c r="J187" s="201"/>
      <c r="K187" s="249"/>
      <c r="L187" s="126"/>
      <c r="M187" s="126"/>
      <c r="N187" s="18"/>
      <c r="O187" s="18"/>
      <c r="P187" s="18"/>
      <c r="Q187" s="18"/>
      <c r="R187" s="18"/>
      <c r="S187" s="126"/>
    </row>
    <row r="188" spans="1:19" s="121" customFormat="1" ht="21" customHeight="1" thickBot="1" x14ac:dyDescent="0.4">
      <c r="A188" s="373"/>
      <c r="B188" s="246"/>
      <c r="C188" s="221">
        <f t="shared" si="68"/>
        <v>0.185</v>
      </c>
      <c r="D188" s="245" t="s">
        <v>356</v>
      </c>
      <c r="E188" s="259">
        <v>204</v>
      </c>
      <c r="F188" s="201">
        <v>0.185</v>
      </c>
      <c r="G188" s="201"/>
      <c r="H188" s="201"/>
      <c r="I188" s="9" t="str">
        <f t="shared" si="65"/>
        <v>Тінідазол 500 мг табл.</v>
      </c>
      <c r="J188" s="201"/>
      <c r="K188" s="249"/>
      <c r="L188" s="126"/>
      <c r="M188" s="126"/>
      <c r="N188" s="18"/>
      <c r="O188" s="18"/>
      <c r="P188" s="18"/>
      <c r="Q188" s="18"/>
      <c r="R188" s="18"/>
      <c r="S188" s="126"/>
    </row>
    <row r="189" spans="1:19" s="121" customFormat="1" ht="30" customHeight="1" thickBot="1" x14ac:dyDescent="0.4">
      <c r="A189" s="373"/>
      <c r="B189" s="246"/>
      <c r="C189" s="221">
        <f t="shared" si="68"/>
        <v>0.23400000000000001</v>
      </c>
      <c r="D189" s="245" t="s">
        <v>357</v>
      </c>
      <c r="E189" s="259">
        <v>500</v>
      </c>
      <c r="F189" s="201">
        <v>0.23400000000000001</v>
      </c>
      <c r="G189" s="201"/>
      <c r="H189" s="201"/>
      <c r="I189" s="9" t="str">
        <f t="shared" si="65"/>
        <v>Сульфат цинку, екв. до 20 мг міералу цинку, дисперговані табл.</v>
      </c>
      <c r="J189" s="201"/>
      <c r="K189" s="249"/>
      <c r="L189" s="126"/>
      <c r="M189" s="126"/>
      <c r="N189" s="18"/>
      <c r="O189" s="18"/>
      <c r="P189" s="18"/>
      <c r="Q189" s="18"/>
      <c r="R189" s="18"/>
      <c r="S189" s="126"/>
    </row>
    <row r="190" spans="1:19" s="121" customFormat="1" ht="34.200000000000003" customHeight="1" thickBot="1" x14ac:dyDescent="0.4">
      <c r="A190" s="373"/>
      <c r="B190" s="246"/>
      <c r="C190" s="221">
        <f t="shared" si="68"/>
        <v>0.34399999999999997</v>
      </c>
      <c r="D190" s="245" t="s">
        <v>358</v>
      </c>
      <c r="E190" s="259">
        <v>100</v>
      </c>
      <c r="F190" s="201">
        <v>0.34399999999999997</v>
      </c>
      <c r="G190" s="201"/>
      <c r="H190" s="201"/>
      <c r="I190" s="9" t="str">
        <f t="shared" si="65"/>
        <v>Капелярні трубки з ЕДТК (для швидкого тесту Determine)</v>
      </c>
      <c r="J190" s="201"/>
      <c r="K190" s="249"/>
      <c r="L190" s="126"/>
      <c r="M190" s="126"/>
      <c r="N190" s="18"/>
      <c r="O190" s="18"/>
      <c r="P190" s="18"/>
      <c r="Q190" s="18"/>
      <c r="R190" s="18"/>
      <c r="S190" s="126"/>
    </row>
    <row r="191" spans="1:19" s="121" customFormat="1" ht="30.6" customHeight="1" thickBot="1" x14ac:dyDescent="0.4">
      <c r="A191" s="373"/>
      <c r="B191" s="246"/>
      <c r="C191" s="221">
        <f t="shared" si="68"/>
        <v>0.161</v>
      </c>
      <c r="D191" s="245" t="s">
        <v>359</v>
      </c>
      <c r="E191" s="259">
        <v>200</v>
      </c>
      <c r="F191" s="201">
        <v>0.161</v>
      </c>
      <c r="G191" s="201"/>
      <c r="H191" s="201"/>
      <c r="I191" s="9" t="str">
        <f t="shared" si="65"/>
        <v>Шапочка хірургічна, берет, неткана, одноразова</v>
      </c>
      <c r="J191" s="201"/>
      <c r="K191" s="249"/>
      <c r="L191" s="126"/>
      <c r="M191" s="126"/>
      <c r="N191" s="18"/>
      <c r="O191" s="18"/>
      <c r="P191" s="18"/>
      <c r="Q191" s="18"/>
      <c r="R191" s="18"/>
      <c r="S191" s="126"/>
    </row>
    <row r="192" spans="1:19" s="121" customFormat="1" ht="48" customHeight="1" thickBot="1" x14ac:dyDescent="0.4">
      <c r="A192" s="373"/>
      <c r="B192" s="246"/>
      <c r="C192" s="221">
        <f t="shared" si="68"/>
        <v>9.532</v>
      </c>
      <c r="D192" s="245" t="s">
        <v>360</v>
      </c>
      <c r="E192" s="259">
        <v>5</v>
      </c>
      <c r="F192" s="201">
        <v>9.532</v>
      </c>
      <c r="G192" s="201"/>
      <c r="H192" s="201"/>
      <c r="I192" s="9" t="str">
        <f t="shared" si="65"/>
        <v>Тонометр (свігмоманометр) механічний (анероїдного типу) з манжетою на ліпучці, для дорослих</v>
      </c>
      <c r="J192" s="201"/>
      <c r="K192" s="249"/>
      <c r="L192" s="126"/>
      <c r="M192" s="126"/>
      <c r="N192" s="18"/>
      <c r="O192" s="18"/>
      <c r="P192" s="18"/>
      <c r="Q192" s="18"/>
      <c r="R192" s="18"/>
      <c r="S192" s="126"/>
    </row>
    <row r="193" spans="1:19" s="121" customFormat="1" ht="62.4" customHeight="1" thickBot="1" x14ac:dyDescent="0.4">
      <c r="A193" s="373"/>
      <c r="B193" s="246"/>
      <c r="C193" s="221">
        <f t="shared" si="68"/>
        <v>1.4259999999999999</v>
      </c>
      <c r="D193" s="245" t="s">
        <v>361</v>
      </c>
      <c r="E193" s="259">
        <v>5</v>
      </c>
      <c r="F193" s="201">
        <v>1.4259999999999999</v>
      </c>
      <c r="G193" s="201"/>
      <c r="H193" s="201"/>
      <c r="I193" s="9" t="str">
        <f t="shared" si="65"/>
        <v>Стетоскоп двосторонній з запасними частинами в комплекті: 1 діфрагма для дорослих, 1 діфрагма педіатрична, 1 пара пластикових навушників</v>
      </c>
      <c r="J193" s="201"/>
      <c r="K193" s="249"/>
      <c r="L193" s="126"/>
      <c r="M193" s="126"/>
      <c r="N193" s="18"/>
      <c r="O193" s="18"/>
      <c r="P193" s="18"/>
      <c r="Q193" s="18"/>
      <c r="R193" s="18"/>
      <c r="S193" s="126"/>
    </row>
    <row r="194" spans="1:19" s="121" customFormat="1" ht="30.6" customHeight="1" thickBot="1" x14ac:dyDescent="0.4">
      <c r="A194" s="373"/>
      <c r="B194" s="246"/>
      <c r="C194" s="221">
        <f t="shared" si="68"/>
        <v>0.55600000000000005</v>
      </c>
      <c r="D194" s="245" t="s">
        <v>362</v>
      </c>
      <c r="E194" s="259">
        <v>200</v>
      </c>
      <c r="F194" s="201">
        <v>0.55600000000000005</v>
      </c>
      <c r="G194" s="201"/>
      <c r="H194" s="201"/>
      <c r="I194" s="9" t="str">
        <f t="shared" si="65"/>
        <v>Лезо (для скальпеля №4) одноразове, стерильне</v>
      </c>
      <c r="J194" s="201"/>
      <c r="K194" s="249"/>
      <c r="L194" s="126"/>
      <c r="M194" s="126"/>
      <c r="N194" s="18"/>
      <c r="O194" s="18"/>
      <c r="P194" s="18"/>
      <c r="Q194" s="18"/>
      <c r="R194" s="18"/>
      <c r="S194" s="126"/>
    </row>
    <row r="195" spans="1:19" s="121" customFormat="1" ht="18.600000000000001" customHeight="1" thickBot="1" x14ac:dyDescent="0.4">
      <c r="A195" s="373"/>
      <c r="B195" s="246"/>
      <c r="C195" s="221">
        <f t="shared" si="68"/>
        <v>1.923</v>
      </c>
      <c r="D195" s="245" t="s">
        <v>363</v>
      </c>
      <c r="E195" s="259">
        <v>6</v>
      </c>
      <c r="F195" s="201">
        <v>1.923</v>
      </c>
      <c r="G195" s="201"/>
      <c r="H195" s="201"/>
      <c r="I195" s="9" t="str">
        <f t="shared" si="65"/>
        <v>Ножиці тупокінцеві прямі, 14,5см</v>
      </c>
      <c r="J195" s="201"/>
      <c r="K195" s="249"/>
      <c r="L195" s="126"/>
      <c r="M195" s="126"/>
      <c r="N195" s="18"/>
      <c r="O195" s="18"/>
      <c r="P195" s="18"/>
      <c r="Q195" s="18"/>
      <c r="R195" s="18"/>
      <c r="S195" s="126"/>
    </row>
    <row r="196" spans="1:19" s="121" customFormat="1" ht="34.799999999999997" customHeight="1" thickBot="1" x14ac:dyDescent="0.4">
      <c r="A196" s="373"/>
      <c r="B196" s="246"/>
      <c r="C196" s="221">
        <f t="shared" si="68"/>
        <v>30.506</v>
      </c>
      <c r="D196" s="245" t="s">
        <v>364</v>
      </c>
      <c r="E196" s="259">
        <v>3</v>
      </c>
      <c r="F196" s="201">
        <v>30.506</v>
      </c>
      <c r="G196" s="201"/>
      <c r="H196" s="201"/>
      <c r="I196" s="9" t="str">
        <f t="shared" si="65"/>
        <v>Набір інструментів для встановлення внутрішньоматкової спіралі (7 інструм.)</v>
      </c>
      <c r="J196" s="201"/>
      <c r="K196" s="249"/>
      <c r="L196" s="126"/>
      <c r="M196" s="126"/>
      <c r="N196" s="18"/>
      <c r="O196" s="18"/>
      <c r="P196" s="18"/>
      <c r="Q196" s="18"/>
      <c r="R196" s="18"/>
      <c r="S196" s="126"/>
    </row>
    <row r="197" spans="1:19" s="121" customFormat="1" ht="24" customHeight="1" thickBot="1" x14ac:dyDescent="0.4">
      <c r="A197" s="243"/>
      <c r="B197" s="246"/>
      <c r="C197" s="221">
        <f t="shared" si="68"/>
        <v>0.20499999999999999</v>
      </c>
      <c r="D197" s="245" t="s">
        <v>365</v>
      </c>
      <c r="E197" s="259">
        <v>100</v>
      </c>
      <c r="F197" s="201">
        <v>0.20499999999999999</v>
      </c>
      <c r="G197" s="201"/>
      <c r="H197" s="201"/>
      <c r="I197" s="9" t="str">
        <f t="shared" si="65"/>
        <v>Бинт еластичний, 6-7см*4м</v>
      </c>
      <c r="J197" s="201"/>
      <c r="K197" s="249"/>
      <c r="L197" s="126"/>
      <c r="M197" s="126"/>
      <c r="N197" s="18"/>
      <c r="O197" s="18"/>
      <c r="P197" s="18"/>
      <c r="Q197" s="18"/>
      <c r="R197" s="18"/>
      <c r="S197" s="126"/>
    </row>
    <row r="198" spans="1:19" s="121" customFormat="1" ht="36.6" customHeight="1" thickBot="1" x14ac:dyDescent="0.4">
      <c r="A198" s="243"/>
      <c r="B198" s="246"/>
      <c r="C198" s="221">
        <f t="shared" si="68"/>
        <v>0.33600000000000002</v>
      </c>
      <c r="D198" s="245" t="s">
        <v>366</v>
      </c>
      <c r="E198" s="259">
        <v>30</v>
      </c>
      <c r="F198" s="201">
        <v>0.33600000000000002</v>
      </c>
      <c r="G198" s="201"/>
      <c r="H198" s="201"/>
      <c r="I198" s="9" t="str">
        <f t="shared" si="65"/>
        <v>Лейкопластир, на тканинній основі, 2-2,5см*5м</v>
      </c>
      <c r="J198" s="201"/>
      <c r="K198" s="249"/>
      <c r="L198" s="126"/>
      <c r="M198" s="126"/>
      <c r="N198" s="18"/>
      <c r="O198" s="18"/>
      <c r="P198" s="18"/>
      <c r="Q198" s="18"/>
      <c r="R198" s="18"/>
      <c r="S198" s="126"/>
    </row>
    <row r="199" spans="1:19" s="121" customFormat="1" ht="31.2" customHeight="1" thickBot="1" x14ac:dyDescent="0.4">
      <c r="A199" s="243"/>
      <c r="B199" s="246"/>
      <c r="C199" s="221">
        <f t="shared" si="68"/>
        <v>2.9849999999999999</v>
      </c>
      <c r="D199" s="245" t="s">
        <v>367</v>
      </c>
      <c r="E199" s="259">
        <v>200</v>
      </c>
      <c r="F199" s="201">
        <v>2.9849999999999999</v>
      </c>
      <c r="G199" s="201"/>
      <c r="H199" s="201"/>
      <c r="I199" s="9" t="str">
        <f t="shared" si="65"/>
        <v>Катетер IV безпечний, з накінечником, 20G x 32мм, з крильцями, ІР, рожевий</v>
      </c>
      <c r="J199" s="201"/>
      <c r="K199" s="249"/>
      <c r="L199" s="126"/>
      <c r="M199" s="126"/>
      <c r="N199" s="18"/>
      <c r="O199" s="18"/>
      <c r="P199" s="18"/>
      <c r="Q199" s="18"/>
      <c r="R199" s="18"/>
      <c r="S199" s="126"/>
    </row>
    <row r="200" spans="1:19" s="121" customFormat="1" ht="48" customHeight="1" thickBot="1" x14ac:dyDescent="0.4">
      <c r="A200" s="243"/>
      <c r="B200" s="246"/>
      <c r="C200" s="221">
        <f t="shared" si="68"/>
        <v>0.98199999999999998</v>
      </c>
      <c r="D200" s="245" t="s">
        <v>368</v>
      </c>
      <c r="E200" s="259">
        <v>50</v>
      </c>
      <c r="F200" s="201">
        <v>0.98199999999999998</v>
      </c>
      <c r="G200" s="201"/>
      <c r="H200" s="201"/>
      <c r="I200" s="9" t="str">
        <f t="shared" si="65"/>
        <v>Набір для переливання крові з фільтром 200мк, стерильний, одноразового використання</v>
      </c>
      <c r="J200" s="201"/>
      <c r="K200" s="249"/>
      <c r="L200" s="126"/>
      <c r="M200" s="126"/>
      <c r="N200" s="18"/>
      <c r="O200" s="18"/>
      <c r="P200" s="18"/>
      <c r="Q200" s="18"/>
      <c r="R200" s="18"/>
      <c r="S200" s="126"/>
    </row>
    <row r="201" spans="1:19" s="121" customFormat="1" ht="49.8" customHeight="1" thickBot="1" x14ac:dyDescent="0.4">
      <c r="A201" s="243"/>
      <c r="B201" s="246"/>
      <c r="C201" s="221">
        <f t="shared" si="68"/>
        <v>6.6109999999999998</v>
      </c>
      <c r="D201" s="245" t="s">
        <v>369</v>
      </c>
      <c r="E201" s="259">
        <v>300</v>
      </c>
      <c r="F201" s="201">
        <v>6.6109999999999998</v>
      </c>
      <c r="G201" s="201"/>
      <c r="H201" s="201"/>
      <c r="I201" s="9" t="str">
        <f t="shared" si="65"/>
        <v>Система для внутрішньовенних інфузій Y-з’єднання, Луер лок входу повітря, стерильна, одноразового використання</v>
      </c>
      <c r="J201" s="201"/>
      <c r="K201" s="249"/>
      <c r="L201" s="126"/>
      <c r="M201" s="126"/>
      <c r="N201" s="18"/>
      <c r="O201" s="18"/>
      <c r="P201" s="18"/>
      <c r="Q201" s="18"/>
      <c r="R201" s="18"/>
      <c r="S201" s="126"/>
    </row>
    <row r="202" spans="1:19" s="121" customFormat="1" ht="21.6" customHeight="1" thickBot="1" x14ac:dyDescent="0.4">
      <c r="A202" s="243"/>
      <c r="B202" s="246"/>
      <c r="C202" s="221">
        <f t="shared" si="68"/>
        <v>0.2</v>
      </c>
      <c r="D202" s="245" t="s">
        <v>370</v>
      </c>
      <c r="E202" s="259">
        <v>2</v>
      </c>
      <c r="F202" s="201">
        <v>0.2</v>
      </c>
      <c r="G202" s="201"/>
      <c r="H202" s="201"/>
      <c r="I202" s="9" t="str">
        <f t="shared" si="65"/>
        <v>Шприц 20мл</v>
      </c>
      <c r="J202" s="201"/>
      <c r="K202" s="249"/>
      <c r="L202" s="126"/>
      <c r="M202" s="126"/>
      <c r="N202" s="18"/>
      <c r="O202" s="18"/>
      <c r="P202" s="18"/>
      <c r="Q202" s="18"/>
      <c r="R202" s="18"/>
      <c r="S202" s="126"/>
    </row>
    <row r="203" spans="1:19" s="121" customFormat="1" ht="35.4" customHeight="1" thickBot="1" x14ac:dyDescent="0.4">
      <c r="A203" s="243"/>
      <c r="B203" s="246"/>
      <c r="C203" s="221">
        <f t="shared" si="68"/>
        <v>12.164</v>
      </c>
      <c r="D203" s="245" t="s">
        <v>371</v>
      </c>
      <c r="E203" s="259">
        <v>100</v>
      </c>
      <c r="F203" s="201">
        <v>12.164</v>
      </c>
      <c r="G203" s="201"/>
      <c r="H203" s="201"/>
      <c r="I203" s="9" t="str">
        <f t="shared" si="65"/>
        <v>Внутрішньоматкова спираль, мідь, модель TCU 380 А</v>
      </c>
      <c r="J203" s="201"/>
      <c r="K203" s="249"/>
      <c r="L203" s="126"/>
      <c r="M203" s="126"/>
      <c r="N203" s="18"/>
      <c r="O203" s="18"/>
      <c r="P203" s="18"/>
      <c r="Q203" s="18"/>
      <c r="R203" s="18"/>
      <c r="S203" s="126"/>
    </row>
    <row r="204" spans="1:19" s="121" customFormat="1" ht="28.2" customHeight="1" thickBot="1" x14ac:dyDescent="0.4">
      <c r="A204" s="243"/>
      <c r="B204" s="248"/>
      <c r="C204" s="221">
        <f t="shared" si="68"/>
        <v>1.0649999999999999</v>
      </c>
      <c r="D204" s="247" t="s">
        <v>372</v>
      </c>
      <c r="E204" s="259">
        <v>20</v>
      </c>
      <c r="F204" s="201">
        <v>1.0649999999999999</v>
      </c>
      <c r="G204" s="201"/>
      <c r="H204" s="201"/>
      <c r="I204" s="9" t="str">
        <f t="shared" si="65"/>
        <v>Термометр електронний з точністю 0,1ºС+футляр</v>
      </c>
      <c r="J204" s="201"/>
      <c r="K204" s="249"/>
      <c r="L204" s="126"/>
      <c r="M204" s="126"/>
      <c r="N204" s="18"/>
      <c r="O204" s="18"/>
      <c r="P204" s="18"/>
      <c r="Q204" s="18"/>
      <c r="R204" s="18"/>
      <c r="S204" s="126"/>
    </row>
    <row r="205" spans="1:19" s="121" customFormat="1" ht="33.6" customHeight="1" thickBot="1" x14ac:dyDescent="0.4">
      <c r="A205" s="243"/>
      <c r="B205" s="246"/>
      <c r="C205" s="221">
        <f t="shared" si="68"/>
        <v>10.465999999999999</v>
      </c>
      <c r="D205" s="245" t="s">
        <v>373</v>
      </c>
      <c r="E205" s="259">
        <v>200</v>
      </c>
      <c r="F205" s="201">
        <v>10.465999999999999</v>
      </c>
      <c r="G205" s="201"/>
      <c r="H205" s="201"/>
      <c r="I205" s="9" t="str">
        <f t="shared" si="65"/>
        <v>Тест на Гепатит С (SD Bioline), сироватка/плазма/цільна кров</v>
      </c>
      <c r="J205" s="201"/>
      <c r="K205" s="249"/>
      <c r="L205" s="126"/>
      <c r="M205" s="126"/>
      <c r="N205" s="18"/>
      <c r="O205" s="18"/>
      <c r="P205" s="18"/>
      <c r="Q205" s="18"/>
      <c r="R205" s="18"/>
      <c r="S205" s="126"/>
    </row>
    <row r="206" spans="1:19" s="121" customFormat="1" ht="39" customHeight="1" thickBot="1" x14ac:dyDescent="0.4">
      <c r="A206" s="243"/>
      <c r="B206" s="246"/>
      <c r="C206" s="221">
        <f t="shared" si="68"/>
        <v>7.5590000000000002</v>
      </c>
      <c r="D206" s="245" t="s">
        <v>374</v>
      </c>
      <c r="E206" s="259">
        <v>3</v>
      </c>
      <c r="F206" s="201">
        <v>7.5590000000000002</v>
      </c>
      <c r="G206" s="201"/>
      <c r="H206" s="201"/>
      <c r="I206" s="9" t="str">
        <f t="shared" si="65"/>
        <v>Тест на ВІЛ 1+2 Stat-Pak КОНТРОЛІ 3*0,25 мл</v>
      </c>
      <c r="J206" s="201"/>
      <c r="K206" s="249"/>
      <c r="L206" s="126"/>
      <c r="M206" s="126"/>
      <c r="N206" s="18"/>
      <c r="O206" s="18"/>
      <c r="P206" s="18"/>
      <c r="Q206" s="18"/>
      <c r="R206" s="18"/>
      <c r="S206" s="126"/>
    </row>
    <row r="207" spans="1:19" s="121" customFormat="1" ht="54" customHeight="1" thickBot="1" x14ac:dyDescent="0.4">
      <c r="A207" s="243"/>
      <c r="B207" s="246"/>
      <c r="C207" s="221">
        <f t="shared" si="68"/>
        <v>8.1920000000000002</v>
      </c>
      <c r="D207" s="245" t="s">
        <v>375</v>
      </c>
      <c r="E207" s="259">
        <v>120</v>
      </c>
      <c r="F207" s="201">
        <v>8.1920000000000002</v>
      </c>
      <c r="G207" s="201"/>
      <c r="H207" s="201"/>
      <c r="I207" s="9" t="str">
        <f t="shared" si="65"/>
        <v>Тест HIV 1+2 STAT-PAK для виявлення антитіл до ВІЛ-1 та ВІЛ-2 в сироватці/плазмі/цільній крові, тест</v>
      </c>
      <c r="J207" s="201"/>
      <c r="K207" s="249"/>
      <c r="L207" s="126"/>
      <c r="M207" s="126"/>
      <c r="N207" s="18"/>
      <c r="O207" s="18"/>
      <c r="P207" s="18"/>
      <c r="Q207" s="18"/>
      <c r="R207" s="18"/>
      <c r="S207" s="126"/>
    </row>
    <row r="208" spans="1:19" s="121" customFormat="1" ht="33.6" customHeight="1" thickBot="1" x14ac:dyDescent="0.4">
      <c r="A208" s="243"/>
      <c r="B208" s="246"/>
      <c r="C208" s="221">
        <f t="shared" si="68"/>
        <v>0.51600000000000001</v>
      </c>
      <c r="D208" s="245" t="s">
        <v>376</v>
      </c>
      <c r="E208" s="259">
        <v>100</v>
      </c>
      <c r="F208" s="201">
        <v>0.51600000000000001</v>
      </c>
      <c r="G208" s="201"/>
      <c r="H208" s="201"/>
      <c r="I208" s="9" t="str">
        <f t="shared" si="65"/>
        <v>Тест на вагітність RST/hCG, для аналізу сечі, 1 смужка</v>
      </c>
      <c r="J208" s="201"/>
      <c r="K208" s="249"/>
      <c r="L208" s="126"/>
      <c r="M208" s="126"/>
      <c r="N208" s="18"/>
      <c r="O208" s="18"/>
      <c r="P208" s="18"/>
      <c r="Q208" s="18"/>
      <c r="R208" s="18"/>
      <c r="S208" s="126"/>
    </row>
    <row r="209" spans="1:19" s="121" customFormat="1" ht="36" customHeight="1" thickBot="1" x14ac:dyDescent="0.4">
      <c r="A209" s="243"/>
      <c r="B209" s="246"/>
      <c r="C209" s="221">
        <f t="shared" si="68"/>
        <v>3.4580000000000002</v>
      </c>
      <c r="D209" s="245" t="s">
        <v>377</v>
      </c>
      <c r="E209" s="259">
        <v>120</v>
      </c>
      <c r="F209" s="201">
        <v>3.4580000000000002</v>
      </c>
      <c r="G209" s="201"/>
      <c r="H209" s="201"/>
      <c r="I209" s="9" t="str">
        <f t="shared" si="65"/>
        <v>Тест на Сифіліс (SD Biotine 3.0), в сироватці/плазмі/цільній крові, 1 тест</v>
      </c>
      <c r="J209" s="201"/>
      <c r="K209" s="249"/>
      <c r="L209" s="126"/>
      <c r="M209" s="126"/>
      <c r="N209" s="18"/>
      <c r="O209" s="18"/>
      <c r="P209" s="18"/>
      <c r="Q209" s="18"/>
      <c r="R209" s="18"/>
      <c r="S209" s="126"/>
    </row>
    <row r="210" spans="1:19" s="121" customFormat="1" ht="30.6" customHeight="1" thickBot="1" x14ac:dyDescent="0.4">
      <c r="A210" s="243"/>
      <c r="B210" s="246"/>
      <c r="C210" s="221">
        <f t="shared" si="68"/>
        <v>0.32100000000000001</v>
      </c>
      <c r="D210" s="245" t="s">
        <v>378</v>
      </c>
      <c r="E210" s="259">
        <v>200</v>
      </c>
      <c r="F210" s="201">
        <v>0.32100000000000001</v>
      </c>
      <c r="G210" s="201"/>
      <c r="H210" s="201"/>
      <c r="I210" s="9" t="str">
        <f t="shared" si="65"/>
        <v>Аналіз сечі на білки глюкози, 1 смужка</v>
      </c>
      <c r="J210" s="201"/>
      <c r="K210" s="249"/>
      <c r="L210" s="126"/>
      <c r="M210" s="126"/>
      <c r="N210" s="18"/>
      <c r="O210" s="18"/>
      <c r="P210" s="18"/>
      <c r="Q210" s="18"/>
      <c r="R210" s="18"/>
      <c r="S210" s="126"/>
    </row>
    <row r="211" spans="1:19" s="121" customFormat="1" ht="33.6" customHeight="1" thickBot="1" x14ac:dyDescent="0.4">
      <c r="A211" s="243"/>
      <c r="B211" s="246"/>
      <c r="C211" s="221">
        <f t="shared" si="68"/>
        <v>0.69499999999999995</v>
      </c>
      <c r="D211" s="245" t="s">
        <v>379</v>
      </c>
      <c r="E211" s="259">
        <v>200</v>
      </c>
      <c r="F211" s="201">
        <v>0.69499999999999995</v>
      </c>
      <c r="G211" s="201"/>
      <c r="H211" s="201"/>
      <c r="I211" s="9" t="str">
        <f t="shared" si="65"/>
        <v>Тест сечі на pH, SG, prot, gluc, ket, blood, nit, leuc, 1 смужка</v>
      </c>
      <c r="J211" s="201"/>
      <c r="K211" s="249"/>
      <c r="L211" s="126"/>
      <c r="M211" s="126"/>
      <c r="N211" s="18"/>
      <c r="O211" s="18"/>
      <c r="P211" s="18"/>
      <c r="Q211" s="18"/>
      <c r="R211" s="18"/>
      <c r="S211" s="126"/>
    </row>
    <row r="212" spans="1:19" s="121" customFormat="1" ht="31.8" customHeight="1" thickBot="1" x14ac:dyDescent="0.4">
      <c r="A212" s="243"/>
      <c r="B212" s="246"/>
      <c r="C212" s="221">
        <f t="shared" si="68"/>
        <v>0.85399999999999998</v>
      </c>
      <c r="D212" s="245" t="s">
        <v>380</v>
      </c>
      <c r="E212" s="259">
        <v>500</v>
      </c>
      <c r="F212" s="201">
        <v>0.85399999999999998</v>
      </c>
      <c r="G212" s="201"/>
      <c r="H212" s="201"/>
      <c r="I212" s="9" t="str">
        <f t="shared" si="65"/>
        <v>Ланцет безпечний для середнього кровотоку, голка 21G*1,8мм, однораз.</v>
      </c>
      <c r="J212" s="201"/>
      <c r="K212" s="249"/>
      <c r="L212" s="126"/>
      <c r="M212" s="126"/>
      <c r="N212" s="18"/>
      <c r="O212" s="18"/>
      <c r="P212" s="18"/>
      <c r="Q212" s="18"/>
      <c r="R212" s="18"/>
      <c r="S212" s="126"/>
    </row>
    <row r="213" spans="1:19" s="121" customFormat="1" ht="33" customHeight="1" thickBot="1" x14ac:dyDescent="0.4">
      <c r="A213" s="243"/>
      <c r="B213" s="246"/>
      <c r="C213" s="221">
        <f t="shared" si="68"/>
        <v>0.35199999999999998</v>
      </c>
      <c r="D213" s="245" t="s">
        <v>381</v>
      </c>
      <c r="E213" s="259">
        <v>200</v>
      </c>
      <c r="F213" s="201">
        <v>0.35199999999999998</v>
      </c>
      <c r="G213" s="201"/>
      <c r="H213" s="201"/>
      <c r="I213" s="9" t="str">
        <f t="shared" si="65"/>
        <v>Ланцет безпечний для низького кровотоку, голка 28G*1,6мм, однораз.</v>
      </c>
      <c r="J213" s="201"/>
      <c r="K213" s="249"/>
      <c r="L213" s="126"/>
      <c r="M213" s="126"/>
      <c r="N213" s="18"/>
      <c r="O213" s="18"/>
      <c r="P213" s="18"/>
      <c r="Q213" s="18"/>
      <c r="R213" s="18"/>
      <c r="S213" s="126"/>
    </row>
    <row r="214" spans="1:19" s="121" customFormat="1" ht="34.200000000000003" customHeight="1" thickBot="1" x14ac:dyDescent="0.4">
      <c r="A214" s="243"/>
      <c r="B214" s="246"/>
      <c r="C214" s="221">
        <f t="shared" si="68"/>
        <v>0.89700000000000002</v>
      </c>
      <c r="D214" s="245" t="s">
        <v>382</v>
      </c>
      <c r="E214" s="259">
        <v>1120</v>
      </c>
      <c r="F214" s="201">
        <v>0.89700000000000002</v>
      </c>
      <c r="G214" s="201"/>
      <c r="H214" s="201"/>
      <c r="I214" s="9" t="str">
        <f t="shared" si="65"/>
        <v>Ацетилсаліцилова кислота (аспірин) 75мг гастрорезистентні табл.</v>
      </c>
      <c r="J214" s="201"/>
      <c r="K214" s="249"/>
      <c r="L214" s="126"/>
      <c r="M214" s="126"/>
      <c r="N214" s="18"/>
      <c r="O214" s="18"/>
      <c r="P214" s="18"/>
      <c r="Q214" s="18"/>
      <c r="R214" s="18"/>
      <c r="S214" s="126"/>
    </row>
    <row r="215" spans="1:19" s="121" customFormat="1" ht="24" customHeight="1" thickBot="1" x14ac:dyDescent="0.4">
      <c r="A215" s="243"/>
      <c r="B215" s="246"/>
      <c r="C215" s="221">
        <f t="shared" si="68"/>
        <v>0.61299999999999999</v>
      </c>
      <c r="D215" s="245" t="s">
        <v>383</v>
      </c>
      <c r="E215" s="259">
        <v>510</v>
      </c>
      <c r="F215" s="201">
        <v>0.61299999999999999</v>
      </c>
      <c r="G215" s="201"/>
      <c r="H215" s="201"/>
      <c r="I215" s="9" t="str">
        <f t="shared" si="65"/>
        <v>Аторвастатин кальцію, екв. 20мг табл.</v>
      </c>
      <c r="J215" s="201"/>
      <c r="K215" s="249"/>
      <c r="L215" s="126"/>
      <c r="M215" s="126"/>
      <c r="N215" s="18"/>
      <c r="O215" s="18"/>
      <c r="P215" s="18"/>
      <c r="Q215" s="18"/>
      <c r="R215" s="18"/>
      <c r="S215" s="126"/>
    </row>
    <row r="216" spans="1:19" s="121" customFormat="1" ht="22.2" customHeight="1" thickBot="1" x14ac:dyDescent="0.4">
      <c r="A216" s="243"/>
      <c r="B216" s="246"/>
      <c r="C216" s="221">
        <f t="shared" si="68"/>
        <v>0.55400000000000005</v>
      </c>
      <c r="D216" s="245" t="s">
        <v>384</v>
      </c>
      <c r="E216" s="259">
        <v>120</v>
      </c>
      <c r="F216" s="201">
        <v>0.55400000000000005</v>
      </c>
      <c r="G216" s="201"/>
      <c r="H216" s="201"/>
      <c r="I216" s="9" t="str">
        <f t="shared" si="65"/>
        <v>Клопідогрель 75мг табл.</v>
      </c>
      <c r="J216" s="201"/>
      <c r="K216" s="249"/>
      <c r="L216" s="126"/>
      <c r="M216" s="126"/>
      <c r="N216" s="18"/>
      <c r="O216" s="18"/>
      <c r="P216" s="18"/>
      <c r="Q216" s="18"/>
      <c r="R216" s="18"/>
      <c r="S216" s="126"/>
    </row>
    <row r="217" spans="1:19" s="121" customFormat="1" ht="30" customHeight="1" thickBot="1" x14ac:dyDescent="0.4">
      <c r="A217" s="243"/>
      <c r="B217" s="246"/>
      <c r="C217" s="221">
        <f t="shared" si="68"/>
        <v>0.24</v>
      </c>
      <c r="D217" s="245" t="s">
        <v>385</v>
      </c>
      <c r="E217" s="259">
        <v>200</v>
      </c>
      <c r="F217" s="201">
        <v>0.24</v>
      </c>
      <c r="G217" s="201"/>
      <c r="H217" s="201"/>
      <c r="I217" s="9" t="str">
        <f t="shared" si="65"/>
        <v>Лоратадин 10мг табл.</v>
      </c>
      <c r="J217" s="201"/>
      <c r="K217" s="249"/>
      <c r="L217" s="126"/>
      <c r="M217" s="126"/>
      <c r="N217" s="18"/>
      <c r="O217" s="18"/>
      <c r="P217" s="18"/>
      <c r="Q217" s="18"/>
      <c r="R217" s="18"/>
      <c r="S217" s="126"/>
    </row>
    <row r="218" spans="1:19" s="121" customFormat="1" ht="35.4" customHeight="1" thickBot="1" x14ac:dyDescent="0.4">
      <c r="A218" s="243"/>
      <c r="B218" s="246"/>
      <c r="C218" s="221">
        <f t="shared" si="68"/>
        <v>0.23899999999999999</v>
      </c>
      <c r="D218" s="245" t="s">
        <v>386</v>
      </c>
      <c r="E218" s="259">
        <v>3</v>
      </c>
      <c r="F218" s="201">
        <v>0.23899999999999999</v>
      </c>
      <c r="G218" s="201"/>
      <c r="H218" s="201"/>
      <c r="I218" s="9" t="str">
        <f t="shared" si="65"/>
        <v>Лоток хірургічний ниркоподібний, 26см*14см, нержавіюча сталь</v>
      </c>
      <c r="J218" s="201"/>
      <c r="K218" s="249"/>
      <c r="L218" s="126"/>
      <c r="M218" s="126"/>
      <c r="N218" s="18"/>
      <c r="O218" s="18"/>
      <c r="P218" s="18"/>
      <c r="Q218" s="18"/>
      <c r="R218" s="18"/>
      <c r="S218" s="126"/>
    </row>
    <row r="219" spans="1:19" s="121" customFormat="1" ht="33" customHeight="1" thickBot="1" x14ac:dyDescent="0.4">
      <c r="A219" s="243"/>
      <c r="B219" s="246"/>
      <c r="C219" s="221">
        <f t="shared" si="68"/>
        <v>27.004999999999999</v>
      </c>
      <c r="D219" s="245" t="s">
        <v>387</v>
      </c>
      <c r="E219" s="259">
        <v>1</v>
      </c>
      <c r="F219" s="201">
        <v>27.004999999999999</v>
      </c>
      <c r="G219" s="201"/>
      <c r="H219" s="201"/>
      <c r="I219" s="9" t="str">
        <f t="shared" si="65"/>
        <v>Кюретажний набір, 11 інструментів+ 8 подвійних розширювачів</v>
      </c>
      <c r="J219" s="201"/>
      <c r="K219" s="249"/>
      <c r="L219" s="126"/>
      <c r="M219" s="126"/>
      <c r="N219" s="18"/>
      <c r="O219" s="18"/>
      <c r="P219" s="18"/>
      <c r="Q219" s="18"/>
      <c r="R219" s="18"/>
      <c r="S219" s="126"/>
    </row>
    <row r="220" spans="1:19" s="121" customFormat="1" ht="25.2" customHeight="1" thickBot="1" x14ac:dyDescent="0.4">
      <c r="A220" s="243"/>
      <c r="B220" s="246"/>
      <c r="C220" s="221">
        <f t="shared" si="68"/>
        <v>19.28</v>
      </c>
      <c r="D220" s="245" t="s">
        <v>388</v>
      </c>
      <c r="E220" s="259">
        <v>3</v>
      </c>
      <c r="F220" s="201">
        <v>19.28</v>
      </c>
      <c r="G220" s="201"/>
      <c r="H220" s="201"/>
      <c r="I220" s="9" t="str">
        <f t="shared" si="65"/>
        <v>Набір для пологів і епізотомії, 7 інструментів</v>
      </c>
      <c r="J220" s="201"/>
      <c r="K220" s="249"/>
      <c r="L220" s="126"/>
      <c r="M220" s="126"/>
      <c r="N220" s="18"/>
      <c r="O220" s="18"/>
      <c r="P220" s="18"/>
      <c r="Q220" s="18"/>
      <c r="R220" s="18"/>
      <c r="S220" s="126"/>
    </row>
    <row r="221" spans="1:19" s="121" customFormat="1" ht="29.4" customHeight="1" thickBot="1" x14ac:dyDescent="0.4">
      <c r="A221" s="243"/>
      <c r="B221" s="246"/>
      <c r="C221" s="221">
        <f t="shared" si="68"/>
        <v>0.39800000000000002</v>
      </c>
      <c r="D221" s="245" t="s">
        <v>389</v>
      </c>
      <c r="E221" s="259">
        <v>20</v>
      </c>
      <c r="F221" s="201">
        <v>0.39800000000000002</v>
      </c>
      <c r="G221" s="201"/>
      <c r="H221" s="201"/>
      <c r="I221" s="9" t="str">
        <f t="shared" si="65"/>
        <v>Катетер-балон Фолея, 2-х ходовий, уретральний, стерильний, одноразовий</v>
      </c>
      <c r="J221" s="201"/>
      <c r="K221" s="249"/>
      <c r="L221" s="126"/>
      <c r="M221" s="126"/>
      <c r="N221" s="18"/>
      <c r="O221" s="18"/>
      <c r="P221" s="18"/>
      <c r="Q221" s="18"/>
      <c r="R221" s="18"/>
      <c r="S221" s="126"/>
    </row>
    <row r="222" spans="1:19" s="121" customFormat="1" ht="33" customHeight="1" thickBot="1" x14ac:dyDescent="0.4">
      <c r="A222" s="243"/>
      <c r="B222" s="246"/>
      <c r="C222" s="221">
        <f t="shared" si="68"/>
        <v>19.228000000000002</v>
      </c>
      <c r="D222" s="245" t="s">
        <v>390</v>
      </c>
      <c r="E222" s="259">
        <v>1950</v>
      </c>
      <c r="F222" s="201">
        <v>19.228000000000002</v>
      </c>
      <c r="G222" s="201"/>
      <c r="H222" s="201"/>
      <c r="I222" s="9" t="str">
        <f t="shared" si="65"/>
        <v>Дзеркало вагінальне велике, Ø 30мм, одноразового використання, стерильне</v>
      </c>
      <c r="J222" s="201"/>
      <c r="K222" s="249"/>
      <c r="L222" s="126"/>
      <c r="M222" s="126"/>
      <c r="N222" s="18"/>
      <c r="O222" s="18"/>
      <c r="P222" s="18"/>
      <c r="Q222" s="18"/>
      <c r="R222" s="18"/>
      <c r="S222" s="126"/>
    </row>
    <row r="223" spans="1:19" s="121" customFormat="1" ht="29.4" customHeight="1" thickBot="1" x14ac:dyDescent="0.4">
      <c r="A223" s="243"/>
      <c r="B223" s="246"/>
      <c r="C223" s="221">
        <f t="shared" si="68"/>
        <v>0.46800000000000003</v>
      </c>
      <c r="D223" s="245" t="s">
        <v>391</v>
      </c>
      <c r="E223" s="259">
        <v>2</v>
      </c>
      <c r="F223" s="201">
        <v>0.46800000000000003</v>
      </c>
      <c r="G223" s="201"/>
      <c r="H223" s="201"/>
      <c r="I223" s="9" t="str">
        <f t="shared" si="65"/>
        <v>Чейз Буфер (для експрес-тесту Determine) 2.5мл</v>
      </c>
      <c r="J223" s="201"/>
      <c r="K223" s="249"/>
      <c r="L223" s="126"/>
      <c r="M223" s="126"/>
      <c r="N223" s="18"/>
      <c r="O223" s="18"/>
      <c r="P223" s="18"/>
      <c r="Q223" s="18"/>
      <c r="R223" s="18"/>
      <c r="S223" s="126"/>
    </row>
    <row r="224" spans="1:19" s="121" customFormat="1" ht="33.6" customHeight="1" thickBot="1" x14ac:dyDescent="0.4">
      <c r="A224" s="243"/>
      <c r="B224" s="246"/>
      <c r="C224" s="221">
        <f t="shared" si="68"/>
        <v>9.4120000000000008</v>
      </c>
      <c r="D224" s="245" t="s">
        <v>392</v>
      </c>
      <c r="E224" s="259">
        <v>200</v>
      </c>
      <c r="F224" s="201">
        <v>9.4120000000000008</v>
      </c>
      <c r="G224" s="201"/>
      <c r="H224" s="201"/>
      <c r="I224" s="9" t="str">
        <f t="shared" si="65"/>
        <v>Тест на Гепатит В HBsAg (Determine 2) в сироватці/плазмі/цільній крові, 1 тест</v>
      </c>
      <c r="J224" s="201"/>
      <c r="K224" s="249"/>
      <c r="L224" s="126"/>
      <c r="M224" s="126"/>
      <c r="N224" s="18"/>
      <c r="O224" s="18"/>
      <c r="P224" s="18"/>
      <c r="Q224" s="18"/>
      <c r="R224" s="18"/>
      <c r="S224" s="126"/>
    </row>
    <row r="225" spans="1:19" s="121" customFormat="1" ht="32.4" customHeight="1" thickBot="1" x14ac:dyDescent="0.4">
      <c r="A225" s="243"/>
      <c r="B225" s="246"/>
      <c r="C225" s="221">
        <f t="shared" si="68"/>
        <v>5.2999999999999999E-2</v>
      </c>
      <c r="D225" s="245" t="s">
        <v>393</v>
      </c>
      <c r="E225" s="259">
        <v>19</v>
      </c>
      <c r="F225" s="201">
        <v>5.2999999999999999E-2</v>
      </c>
      <c r="G225" s="201"/>
      <c r="H225" s="201"/>
      <c r="I225" s="9" t="str">
        <f t="shared" si="65"/>
        <v>Контейнер пластиковий для збору зразків сечі, 60мл, нестерильний</v>
      </c>
      <c r="J225" s="201"/>
      <c r="K225" s="249"/>
      <c r="L225" s="126"/>
      <c r="M225" s="126"/>
      <c r="N225" s="18"/>
      <c r="O225" s="18"/>
      <c r="P225" s="18"/>
      <c r="Q225" s="18"/>
      <c r="R225" s="18"/>
      <c r="S225" s="126"/>
    </row>
    <row r="226" spans="1:19" s="121" customFormat="1" ht="21" customHeight="1" thickBot="1" x14ac:dyDescent="0.4">
      <c r="A226" s="243"/>
      <c r="B226" s="246"/>
      <c r="C226" s="221">
        <f t="shared" si="68"/>
        <v>0.65500000000000003</v>
      </c>
      <c r="D226" s="245" t="s">
        <v>394</v>
      </c>
      <c r="E226" s="259">
        <v>65</v>
      </c>
      <c r="F226" s="201">
        <v>0.65500000000000003</v>
      </c>
      <c r="G226" s="201"/>
      <c r="H226" s="201"/>
      <c r="I226" s="9" t="str">
        <f t="shared" si="65"/>
        <v>Окситоцин 10МО/мл, 1мл амп.</v>
      </c>
      <c r="J226" s="201"/>
      <c r="K226" s="249"/>
      <c r="L226" s="126"/>
      <c r="M226" s="126"/>
      <c r="N226" s="18"/>
      <c r="O226" s="18"/>
      <c r="P226" s="18"/>
      <c r="Q226" s="18"/>
      <c r="R226" s="18"/>
      <c r="S226" s="126"/>
    </row>
    <row r="227" spans="1:19" s="121" customFormat="1" ht="31.2" customHeight="1" thickBot="1" x14ac:dyDescent="0.4">
      <c r="A227" s="243"/>
      <c r="B227" s="246"/>
      <c r="C227" s="221">
        <f t="shared" si="68"/>
        <v>13.583</v>
      </c>
      <c r="D227" s="245" t="s">
        <v>395</v>
      </c>
      <c r="E227" s="259">
        <v>100</v>
      </c>
      <c r="F227" s="201">
        <v>13.583</v>
      </c>
      <c r="G227" s="201"/>
      <c r="H227" s="201"/>
      <c r="I227" s="9" t="str">
        <f t="shared" si="65"/>
        <v>Кофеїну цитрат, 10мг/мл, екв.5мг основи кофеїну, 1 мл амп.</v>
      </c>
      <c r="J227" s="201"/>
      <c r="K227" s="249"/>
      <c r="L227" s="126"/>
      <c r="M227" s="126"/>
      <c r="N227" s="18"/>
      <c r="O227" s="18"/>
      <c r="P227" s="18"/>
      <c r="Q227" s="18"/>
      <c r="R227" s="18"/>
      <c r="S227" s="126"/>
    </row>
    <row r="228" spans="1:19" s="121" customFormat="1" ht="33" customHeight="1" thickBot="1" x14ac:dyDescent="0.4">
      <c r="A228" s="243"/>
      <c r="B228" s="246"/>
      <c r="C228" s="221">
        <f t="shared" si="68"/>
        <v>3.444</v>
      </c>
      <c r="D228" s="245" t="s">
        <v>396</v>
      </c>
      <c r="E228" s="259">
        <v>20</v>
      </c>
      <c r="F228" s="201">
        <v>3.444</v>
      </c>
      <c r="G228" s="201"/>
      <c r="H228" s="201"/>
      <c r="I228" s="9" t="str">
        <f t="shared" si="65"/>
        <v>Контейнер одноразовий для використаних шприців</v>
      </c>
      <c r="J228" s="201"/>
      <c r="K228" s="249"/>
      <c r="L228" s="126"/>
      <c r="M228" s="126"/>
      <c r="N228" s="18"/>
      <c r="O228" s="18"/>
      <c r="P228" s="18"/>
      <c r="Q228" s="18"/>
      <c r="R228" s="18"/>
      <c r="S228" s="126"/>
    </row>
    <row r="229" spans="1:19" s="121" customFormat="1" ht="24" customHeight="1" thickBot="1" x14ac:dyDescent="0.4">
      <c r="A229" s="243"/>
      <c r="B229" s="246"/>
      <c r="C229" s="221">
        <f t="shared" si="68"/>
        <v>0.249</v>
      </c>
      <c r="D229" s="245" t="s">
        <v>397</v>
      </c>
      <c r="E229" s="259">
        <v>2</v>
      </c>
      <c r="F229" s="201">
        <v>0.249</v>
      </c>
      <c r="G229" s="201"/>
      <c r="H229" s="201"/>
      <c r="I229" s="9" t="str">
        <f t="shared" si="65"/>
        <v>Каберголін 0,5мг табл.</v>
      </c>
      <c r="J229" s="201"/>
      <c r="K229" s="249"/>
      <c r="L229" s="126"/>
      <c r="M229" s="126"/>
      <c r="N229" s="18"/>
      <c r="O229" s="18"/>
      <c r="P229" s="18"/>
      <c r="Q229" s="18"/>
      <c r="R229" s="18"/>
      <c r="S229" s="126"/>
    </row>
    <row r="230" spans="1:19" s="121" customFormat="1" ht="33.6" customHeight="1" thickBot="1" x14ac:dyDescent="0.4">
      <c r="A230" s="243"/>
      <c r="B230" s="246"/>
      <c r="C230" s="221">
        <f t="shared" si="68"/>
        <v>0.60699999999999998</v>
      </c>
      <c r="D230" s="245" t="s">
        <v>398</v>
      </c>
      <c r="E230" s="259">
        <v>20</v>
      </c>
      <c r="F230" s="201">
        <v>0.60699999999999998</v>
      </c>
      <c r="G230" s="201"/>
      <c r="H230" s="201"/>
      <c r="I230" s="9" t="str">
        <f t="shared" si="65"/>
        <v>ДЕКСТРОЗА 10%/ НАТРІЮ ХЛОРИД 0,18% 500мл SR бот.</v>
      </c>
      <c r="J230" s="201"/>
      <c r="K230" s="249"/>
      <c r="L230" s="126"/>
      <c r="M230" s="126"/>
      <c r="N230" s="18"/>
      <c r="O230" s="18"/>
      <c r="P230" s="18"/>
      <c r="Q230" s="18"/>
      <c r="R230" s="18"/>
      <c r="S230" s="126"/>
    </row>
    <row r="231" spans="1:19" s="121" customFormat="1" ht="23.4" customHeight="1" thickBot="1" x14ac:dyDescent="0.4">
      <c r="A231" s="243"/>
      <c r="B231" s="246"/>
      <c r="C231" s="221">
        <f t="shared" si="68"/>
        <v>2.2999999999999998</v>
      </c>
      <c r="D231" s="245" t="s">
        <v>399</v>
      </c>
      <c r="E231" s="259">
        <v>20</v>
      </c>
      <c r="F231" s="201">
        <v>2.2999999999999998</v>
      </c>
      <c r="G231" s="201"/>
      <c r="H231" s="201"/>
      <c r="I231" s="9" t="str">
        <f t="shared" si="65"/>
        <v>Перметрін 1% бут.</v>
      </c>
      <c r="J231" s="201"/>
      <c r="K231" s="249"/>
      <c r="L231" s="126"/>
      <c r="M231" s="126"/>
      <c r="N231" s="18"/>
      <c r="O231" s="18"/>
      <c r="P231" s="18"/>
      <c r="Q231" s="18"/>
      <c r="R231" s="18"/>
      <c r="S231" s="126"/>
    </row>
    <row r="232" spans="1:19" s="121" customFormat="1" ht="19.2" customHeight="1" thickBot="1" x14ac:dyDescent="0.4">
      <c r="A232" s="243"/>
      <c r="B232" s="246"/>
      <c r="C232" s="221">
        <f t="shared" si="68"/>
        <v>3.6059999999999999</v>
      </c>
      <c r="D232" s="245" t="s">
        <v>400</v>
      </c>
      <c r="E232" s="259">
        <v>500</v>
      </c>
      <c r="F232" s="201">
        <v>3.6059999999999999</v>
      </c>
      <c r="G232" s="201"/>
      <c r="H232" s="201"/>
      <c r="I232" s="9" t="str">
        <f t="shared" si="65"/>
        <v>Транексам 500мг табл.</v>
      </c>
      <c r="J232" s="201"/>
      <c r="K232" s="249"/>
      <c r="L232" s="126"/>
      <c r="M232" s="126"/>
      <c r="N232" s="18"/>
      <c r="O232" s="18"/>
      <c r="P232" s="18"/>
      <c r="Q232" s="18"/>
      <c r="R232" s="18"/>
      <c r="S232" s="126"/>
    </row>
    <row r="233" spans="1:19" s="121" customFormat="1" ht="30" customHeight="1" thickBot="1" x14ac:dyDescent="0.4">
      <c r="A233" s="243"/>
      <c r="B233" s="246"/>
      <c r="C233" s="221">
        <f t="shared" si="68"/>
        <v>23.239000000000001</v>
      </c>
      <c r="D233" s="245" t="s">
        <v>401</v>
      </c>
      <c r="E233" s="259">
        <v>4</v>
      </c>
      <c r="F233" s="201">
        <v>23.239000000000001</v>
      </c>
      <c r="G233" s="201"/>
      <c r="H233" s="201"/>
      <c r="I233" s="9" t="str">
        <f t="shared" si="65"/>
        <v>Баллон+катетер при післяродової кровотечі 500мл</v>
      </c>
      <c r="J233" s="201"/>
      <c r="K233" s="249"/>
      <c r="L233" s="126"/>
      <c r="M233" s="126"/>
      <c r="N233" s="18"/>
      <c r="O233" s="18"/>
      <c r="P233" s="18"/>
      <c r="Q233" s="18"/>
      <c r="R233" s="18"/>
      <c r="S233" s="126"/>
    </row>
    <row r="234" spans="1:19" s="121" customFormat="1" ht="17.399999999999999" customHeight="1" thickBot="1" x14ac:dyDescent="0.4">
      <c r="A234" s="243"/>
      <c r="B234" s="246"/>
      <c r="C234" s="221">
        <f t="shared" si="68"/>
        <v>6.5000000000000002E-2</v>
      </c>
      <c r="D234" s="245" t="s">
        <v>402</v>
      </c>
      <c r="E234" s="259">
        <v>3</v>
      </c>
      <c r="F234" s="201">
        <v>6.5000000000000002E-2</v>
      </c>
      <c r="G234" s="201"/>
      <c r="H234" s="201"/>
      <c r="I234" s="9" t="str">
        <f t="shared" si="65"/>
        <v>Катетер безпечний 20G</v>
      </c>
      <c r="J234" s="201"/>
      <c r="K234" s="249"/>
      <c r="L234" s="126"/>
      <c r="M234" s="126"/>
      <c r="N234" s="18"/>
      <c r="O234" s="18"/>
      <c r="P234" s="18"/>
      <c r="Q234" s="18"/>
      <c r="R234" s="18"/>
      <c r="S234" s="126"/>
    </row>
    <row r="235" spans="1:19" s="121" customFormat="1" ht="24.6" customHeight="1" thickBot="1" x14ac:dyDescent="0.4">
      <c r="A235" s="243"/>
      <c r="B235" s="246"/>
      <c r="C235" s="221">
        <f t="shared" si="68"/>
        <v>0.04</v>
      </c>
      <c r="D235" s="245" t="s">
        <v>403</v>
      </c>
      <c r="E235" s="259">
        <v>1</v>
      </c>
      <c r="F235" s="201">
        <v>0.04</v>
      </c>
      <c r="G235" s="201"/>
      <c r="H235" s="201"/>
      <c r="I235" s="9" t="str">
        <f t="shared" si="65"/>
        <v>Маска Амбу</v>
      </c>
      <c r="J235" s="201"/>
      <c r="K235" s="249"/>
      <c r="L235" s="126"/>
      <c r="M235" s="126"/>
      <c r="N235" s="18"/>
      <c r="O235" s="18"/>
      <c r="P235" s="18"/>
      <c r="Q235" s="18"/>
      <c r="R235" s="18"/>
      <c r="S235" s="126"/>
    </row>
    <row r="236" spans="1:19" s="121" customFormat="1" ht="22.2" customHeight="1" thickBot="1" x14ac:dyDescent="0.4">
      <c r="A236" s="243"/>
      <c r="B236" s="246"/>
      <c r="C236" s="221">
        <f t="shared" si="68"/>
        <v>2.1110000000000002</v>
      </c>
      <c r="D236" s="245" t="s">
        <v>404</v>
      </c>
      <c r="E236" s="259">
        <v>2</v>
      </c>
      <c r="F236" s="201">
        <v>2.1110000000000002</v>
      </c>
      <c r="G236" s="201"/>
      <c r="H236" s="201"/>
      <c r="I236" s="9" t="str">
        <f t="shared" si="65"/>
        <v>Щипці вікончасті 23см</v>
      </c>
      <c r="J236" s="201"/>
      <c r="K236" s="249"/>
      <c r="L236" s="126"/>
      <c r="M236" s="126"/>
      <c r="N236" s="18"/>
      <c r="O236" s="18"/>
      <c r="P236" s="18"/>
      <c r="Q236" s="18"/>
      <c r="R236" s="18"/>
      <c r="S236" s="126"/>
    </row>
    <row r="237" spans="1:19" s="121" customFormat="1" ht="26.4" customHeight="1" thickBot="1" x14ac:dyDescent="0.4">
      <c r="A237" s="243"/>
      <c r="B237" s="246"/>
      <c r="C237" s="221">
        <f t="shared" si="68"/>
        <v>12.051</v>
      </c>
      <c r="D237" s="245" t="s">
        <v>405</v>
      </c>
      <c r="E237" s="259">
        <v>1</v>
      </c>
      <c r="F237" s="201">
        <v>12.051</v>
      </c>
      <c r="G237" s="201"/>
      <c r="H237" s="201"/>
      <c r="I237" s="9" t="str">
        <f t="shared" ref="I237" si="69">D237</f>
        <v>Термометр інфракрасний безконтактний</v>
      </c>
      <c r="J237" s="201"/>
      <c r="K237" s="249"/>
      <c r="L237" s="126"/>
      <c r="M237" s="126"/>
      <c r="N237" s="18"/>
      <c r="O237" s="18"/>
      <c r="P237" s="18"/>
      <c r="Q237" s="18"/>
      <c r="R237" s="18"/>
      <c r="S237" s="126"/>
    </row>
    <row r="238" spans="1:19" ht="36.6" customHeight="1" thickBot="1" x14ac:dyDescent="0.3">
      <c r="A238" s="382" t="s">
        <v>308</v>
      </c>
      <c r="B238" s="383"/>
      <c r="C238" s="383"/>
      <c r="D238" s="383"/>
      <c r="E238" s="384"/>
      <c r="F238" s="199">
        <f>F5+F16+F102+F122+F124+F126+F149+F154+F156+F165</f>
        <v>2870.2900130000007</v>
      </c>
      <c r="G238" s="385" t="s">
        <v>305</v>
      </c>
      <c r="H238" s="386"/>
      <c r="I238" s="387"/>
      <c r="J238" s="170">
        <f>J22+J38+J85+J111+J123+J124+J129+J148+J152+J154</f>
        <v>208.35288</v>
      </c>
      <c r="K238" s="219">
        <f>K22+K38+K85+K111+K123+K124+K129+K148+K152+K154</f>
        <v>985.50202999999999</v>
      </c>
    </row>
    <row r="239" spans="1:19" s="121" customFormat="1" ht="43.5" customHeight="1" x14ac:dyDescent="0.35">
      <c r="A239" s="50"/>
      <c r="B239" s="122"/>
      <c r="C239" s="51"/>
      <c r="D239" s="125"/>
      <c r="E239" s="124"/>
      <c r="F239" s="51"/>
      <c r="G239" s="115"/>
      <c r="H239" s="115"/>
      <c r="I239" s="2"/>
      <c r="J239" s="84"/>
      <c r="K239" s="120"/>
      <c r="L239" s="126"/>
      <c r="M239" s="126"/>
      <c r="N239" s="18"/>
      <c r="O239" s="18"/>
      <c r="P239" s="18"/>
      <c r="Q239" s="18"/>
      <c r="R239" s="18"/>
      <c r="S239" s="126"/>
    </row>
    <row r="240" spans="1:19" s="121" customFormat="1" ht="18" x14ac:dyDescent="0.35">
      <c r="B240" s="122"/>
      <c r="C240" s="51"/>
      <c r="D240" s="123" t="s">
        <v>142</v>
      </c>
      <c r="E240" s="124"/>
      <c r="F240" s="51"/>
      <c r="G240" s="122"/>
      <c r="H240" s="122"/>
      <c r="I240" s="125"/>
      <c r="J240" s="84"/>
      <c r="K240" s="120"/>
      <c r="L240" s="126"/>
      <c r="M240" s="126"/>
      <c r="N240" s="18"/>
      <c r="O240" s="18"/>
      <c r="P240" s="18"/>
      <c r="Q240" s="18"/>
      <c r="R240" s="18"/>
      <c r="S240" s="126"/>
    </row>
    <row r="241" spans="2:19" s="121" customFormat="1" ht="18" x14ac:dyDescent="0.35">
      <c r="B241" s="122"/>
      <c r="C241" s="51"/>
      <c r="D241" s="125"/>
      <c r="E241" s="124"/>
      <c r="F241" s="51"/>
      <c r="G241" s="122"/>
      <c r="H241" s="122"/>
      <c r="I241" s="125"/>
      <c r="J241" s="84"/>
      <c r="K241" s="120"/>
      <c r="L241" s="126"/>
      <c r="M241" s="126"/>
      <c r="N241" s="18"/>
      <c r="O241" s="18"/>
      <c r="P241" s="18"/>
      <c r="Q241" s="18"/>
      <c r="R241" s="18"/>
      <c r="S241" s="126"/>
    </row>
    <row r="242" spans="2:19" s="121" customFormat="1" ht="30" customHeight="1" x14ac:dyDescent="0.35">
      <c r="B242" s="122"/>
      <c r="C242" s="51"/>
      <c r="D242" s="127" t="s">
        <v>143</v>
      </c>
      <c r="E242" s="124" t="s">
        <v>144</v>
      </c>
      <c r="F242" s="51"/>
      <c r="G242" s="122" t="s">
        <v>145</v>
      </c>
      <c r="H242" s="122"/>
      <c r="I242" s="233"/>
      <c r="J242" s="84"/>
      <c r="K242" s="120"/>
      <c r="L242" s="126"/>
      <c r="M242" s="126"/>
      <c r="N242" s="18"/>
      <c r="O242" s="18"/>
      <c r="P242" s="18"/>
      <c r="Q242" s="18"/>
      <c r="R242" s="18"/>
      <c r="S242" s="126"/>
    </row>
    <row r="243" spans="2:19" s="121" customFormat="1" ht="18" x14ac:dyDescent="0.35">
      <c r="B243" s="122"/>
      <c r="C243" s="51"/>
      <c r="D243" s="125"/>
      <c r="E243" s="124"/>
      <c r="F243" s="51"/>
      <c r="G243" s="122"/>
      <c r="H243" s="122"/>
      <c r="I243" s="125"/>
      <c r="J243" s="84"/>
      <c r="K243" s="120"/>
      <c r="L243" s="126"/>
      <c r="M243" s="126"/>
      <c r="N243" s="18"/>
      <c r="O243" s="18"/>
      <c r="P243" s="18"/>
      <c r="Q243" s="18"/>
      <c r="R243" s="18"/>
      <c r="S243" s="126"/>
    </row>
    <row r="244" spans="2:19" s="121" customFormat="1" ht="18" x14ac:dyDescent="0.35">
      <c r="B244" s="122"/>
      <c r="C244" s="51"/>
      <c r="D244" s="123" t="s">
        <v>146</v>
      </c>
      <c r="E244" s="124"/>
      <c r="F244" s="51"/>
      <c r="G244" s="122"/>
      <c r="H244" s="122"/>
      <c r="I244" s="125"/>
      <c r="J244" s="84"/>
      <c r="K244" s="120"/>
      <c r="L244" s="126"/>
      <c r="M244" s="126"/>
      <c r="N244" s="18"/>
      <c r="O244" s="18"/>
      <c r="P244" s="18"/>
      <c r="Q244" s="18"/>
      <c r="R244" s="18"/>
      <c r="S244" s="126"/>
    </row>
    <row r="245" spans="2:19" s="121" customFormat="1" ht="43.5" customHeight="1" x14ac:dyDescent="0.35">
      <c r="B245" s="122"/>
      <c r="C245" s="51"/>
      <c r="D245" s="128" t="s">
        <v>147</v>
      </c>
      <c r="E245" s="124" t="s">
        <v>148</v>
      </c>
      <c r="F245" s="51"/>
      <c r="G245" s="122" t="s">
        <v>149</v>
      </c>
      <c r="H245" s="122"/>
      <c r="I245" s="125"/>
      <c r="J245" s="84"/>
      <c r="K245" s="120"/>
      <c r="L245" s="126"/>
      <c r="M245" s="126"/>
      <c r="N245" s="18"/>
      <c r="O245" s="18"/>
      <c r="P245" s="18"/>
      <c r="Q245" s="18"/>
      <c r="R245" s="18"/>
      <c r="S245" s="126"/>
    </row>
    <row r="246" spans="2:19" s="121" customFormat="1" ht="42.75" customHeight="1" x14ac:dyDescent="0.35">
      <c r="B246" s="122"/>
      <c r="C246" s="51"/>
      <c r="D246" s="128" t="s">
        <v>150</v>
      </c>
      <c r="E246" s="124" t="s">
        <v>148</v>
      </c>
      <c r="F246" s="51"/>
      <c r="G246" s="122" t="s">
        <v>151</v>
      </c>
      <c r="H246" s="122"/>
      <c r="I246" s="125"/>
      <c r="J246" s="84"/>
      <c r="K246" s="120"/>
      <c r="L246" s="126"/>
      <c r="M246" s="126"/>
      <c r="N246" s="18"/>
      <c r="O246" s="18"/>
      <c r="P246" s="18"/>
      <c r="Q246" s="18"/>
      <c r="R246" s="18"/>
      <c r="S246" s="126"/>
    </row>
    <row r="247" spans="2:19" s="121" customFormat="1" ht="55.5" customHeight="1" x14ac:dyDescent="0.35">
      <c r="B247" s="122"/>
      <c r="C247" s="51"/>
      <c r="D247" s="128" t="s">
        <v>152</v>
      </c>
      <c r="E247" s="124" t="s">
        <v>148</v>
      </c>
      <c r="F247" s="51"/>
      <c r="G247" s="122" t="s">
        <v>153</v>
      </c>
      <c r="H247" s="122"/>
      <c r="I247" s="125"/>
      <c r="J247" s="84"/>
      <c r="K247" s="120"/>
      <c r="L247" s="126"/>
      <c r="M247" s="126"/>
      <c r="N247" s="18"/>
      <c r="O247" s="18"/>
      <c r="P247" s="18"/>
      <c r="Q247" s="18"/>
      <c r="R247" s="18"/>
      <c r="S247" s="126"/>
    </row>
    <row r="248" spans="2:19" ht="18" x14ac:dyDescent="0.25">
      <c r="B248" s="122"/>
      <c r="D248" s="123"/>
      <c r="E248" s="124"/>
    </row>
    <row r="249" spans="2:19" ht="18" x14ac:dyDescent="0.25">
      <c r="B249" s="122"/>
      <c r="D249" s="128"/>
      <c r="E249" s="124"/>
    </row>
  </sheetData>
  <mergeCells count="89">
    <mergeCell ref="A238:E238"/>
    <mergeCell ref="G238:I238"/>
    <mergeCell ref="G131:I131"/>
    <mergeCell ref="B131:E131"/>
    <mergeCell ref="B154:E154"/>
    <mergeCell ref="G154:I154"/>
    <mergeCell ref="A154:A155"/>
    <mergeCell ref="G149:I149"/>
    <mergeCell ref="B149:E149"/>
    <mergeCell ref="B156:E156"/>
    <mergeCell ref="G156:I156"/>
    <mergeCell ref="B165:E165"/>
    <mergeCell ref="G165:I165"/>
    <mergeCell ref="G46:I46"/>
    <mergeCell ref="B46:E46"/>
    <mergeCell ref="G76:I76"/>
    <mergeCell ref="B78:E78"/>
    <mergeCell ref="G78:I78"/>
    <mergeCell ref="B40:E40"/>
    <mergeCell ref="G40:I40"/>
    <mergeCell ref="B49:E49"/>
    <mergeCell ref="G49:I49"/>
    <mergeCell ref="A156:A196"/>
    <mergeCell ref="A149:A153"/>
    <mergeCell ref="A127:A148"/>
    <mergeCell ref="G57:I57"/>
    <mergeCell ref="B80:E80"/>
    <mergeCell ref="G80:I80"/>
    <mergeCell ref="A46:A101"/>
    <mergeCell ref="G127:I127"/>
    <mergeCell ref="B127:E127"/>
    <mergeCell ref="G124:I124"/>
    <mergeCell ref="B124:E124"/>
    <mergeCell ref="B122:E122"/>
    <mergeCell ref="A102:A125"/>
    <mergeCell ref="G83:I83"/>
    <mergeCell ref="B83:E83"/>
    <mergeCell ref="G69:I69"/>
    <mergeCell ref="B69:E69"/>
    <mergeCell ref="B88:E88"/>
    <mergeCell ref="G88:I88"/>
    <mergeCell ref="B91:E91"/>
    <mergeCell ref="G91:I91"/>
    <mergeCell ref="B95:E95"/>
    <mergeCell ref="G95:I95"/>
    <mergeCell ref="B73:E73"/>
    <mergeCell ref="B102:D102"/>
    <mergeCell ref="G122:J122"/>
    <mergeCell ref="G102:I102"/>
    <mergeCell ref="G23:I23"/>
    <mergeCell ref="B23:E23"/>
    <mergeCell ref="B37:E37"/>
    <mergeCell ref="G37:I37"/>
    <mergeCell ref="G73:I73"/>
    <mergeCell ref="B51:E51"/>
    <mergeCell ref="G65:I65"/>
    <mergeCell ref="B65:E65"/>
    <mergeCell ref="G62:I62"/>
    <mergeCell ref="B62:E62"/>
    <mergeCell ref="G59:I59"/>
    <mergeCell ref="B59:E59"/>
    <mergeCell ref="B57:E57"/>
    <mergeCell ref="G55:I55"/>
    <mergeCell ref="B55:E55"/>
    <mergeCell ref="G51:I51"/>
    <mergeCell ref="A1:K1"/>
    <mergeCell ref="A2:A3"/>
    <mergeCell ref="B2:C2"/>
    <mergeCell ref="D2:D3"/>
    <mergeCell ref="E2:E3"/>
    <mergeCell ref="F2:F3"/>
    <mergeCell ref="G2:J2"/>
    <mergeCell ref="K2:K3"/>
    <mergeCell ref="B126:E126"/>
    <mergeCell ref="G126:I126"/>
    <mergeCell ref="A4:K4"/>
    <mergeCell ref="A5:A15"/>
    <mergeCell ref="B5:E5"/>
    <mergeCell ref="G5:I5"/>
    <mergeCell ref="A16:A45"/>
    <mergeCell ref="B16:E16"/>
    <mergeCell ref="G16:I16"/>
    <mergeCell ref="B17:E17"/>
    <mergeCell ref="G17:I17"/>
    <mergeCell ref="B30:E30"/>
    <mergeCell ref="B26:E26"/>
    <mergeCell ref="G26:I26"/>
    <mergeCell ref="G30:I30"/>
    <mergeCell ref="B76:E76"/>
  </mergeCells>
  <phoneticPr fontId="33" type="noConversion"/>
  <printOptions horizontalCentered="1" verticalCentered="1"/>
  <pageMargins left="0" right="0" top="0.19685039370078741" bottom="0.19685039370078741" header="0" footer="0"/>
  <pageSetup paperSize="9"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0"/>
  <sheetViews>
    <sheetView topLeftCell="A118" zoomScale="80" zoomScaleNormal="80" zoomScaleSheetLayoutView="110" workbookViewId="0">
      <selection activeCell="C41" sqref="C41"/>
    </sheetView>
  </sheetViews>
  <sheetFormatPr defaultColWidth="9.33203125" defaultRowHeight="15.6" x14ac:dyDescent="0.25"/>
  <cols>
    <col min="1" max="1" width="9.77734375" style="50" customWidth="1"/>
    <col min="2" max="2" width="8.109375" style="115" customWidth="1"/>
    <col min="3" max="3" width="11.77734375" style="51" customWidth="1"/>
    <col min="4" max="4" width="43.109375" style="2" customWidth="1"/>
    <col min="5" max="5" width="7.77734375" style="52" customWidth="1"/>
    <col min="6" max="6" width="13" style="51" customWidth="1"/>
    <col min="7" max="7" width="10.6640625" style="115" customWidth="1"/>
    <col min="8" max="8" width="9" style="115" customWidth="1"/>
    <col min="9" max="9" width="50.109375" style="2" customWidth="1"/>
    <col min="10" max="10" width="13.88671875" style="84" customWidth="1"/>
    <col min="11" max="11" width="11.77734375" style="120" customWidth="1"/>
    <col min="12" max="12" width="9.33203125" style="18"/>
    <col min="13" max="13" width="17.44140625" style="18" bestFit="1" customWidth="1"/>
    <col min="14" max="14" width="18.44140625" style="18" customWidth="1"/>
    <col min="15" max="15" width="16" style="18" customWidth="1"/>
    <col min="16" max="19" width="9.33203125" style="18"/>
    <col min="20" max="16384" width="9.33203125" style="1"/>
  </cols>
  <sheetData>
    <row r="1" spans="1:19" ht="51.75" customHeight="1" thickBot="1" x14ac:dyDescent="0.3">
      <c r="A1" s="419" t="s">
        <v>170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9" s="4" customFormat="1" ht="65.400000000000006" customHeight="1" x14ac:dyDescent="0.25">
      <c r="A2" s="348" t="s">
        <v>0</v>
      </c>
      <c r="B2" s="420" t="s">
        <v>1</v>
      </c>
      <c r="C2" s="420"/>
      <c r="D2" s="420" t="s">
        <v>2</v>
      </c>
      <c r="E2" s="422" t="s">
        <v>3</v>
      </c>
      <c r="F2" s="424" t="s">
        <v>4</v>
      </c>
      <c r="G2" s="358" t="s">
        <v>5</v>
      </c>
      <c r="H2" s="359"/>
      <c r="I2" s="359"/>
      <c r="J2" s="360"/>
      <c r="K2" s="361" t="s">
        <v>6</v>
      </c>
      <c r="L2" s="58"/>
      <c r="M2" s="58"/>
      <c r="N2" s="58"/>
      <c r="O2" s="58"/>
      <c r="P2" s="58"/>
      <c r="Q2" s="58"/>
      <c r="R2" s="58"/>
      <c r="S2" s="58"/>
    </row>
    <row r="3" spans="1:19" s="4" customFormat="1" ht="73.2" customHeight="1" thickBot="1" x14ac:dyDescent="0.3">
      <c r="A3" s="349"/>
      <c r="B3" s="214" t="s">
        <v>7</v>
      </c>
      <c r="C3" s="215" t="s">
        <v>8</v>
      </c>
      <c r="D3" s="421"/>
      <c r="E3" s="423"/>
      <c r="F3" s="425"/>
      <c r="G3" s="216" t="s">
        <v>9</v>
      </c>
      <c r="H3" s="217" t="s">
        <v>10</v>
      </c>
      <c r="I3" s="218" t="s">
        <v>11</v>
      </c>
      <c r="J3" s="134" t="s">
        <v>12</v>
      </c>
      <c r="K3" s="362"/>
      <c r="L3" s="58"/>
      <c r="M3" s="58"/>
      <c r="N3" s="58"/>
      <c r="O3" s="58"/>
      <c r="P3" s="58"/>
      <c r="Q3" s="58"/>
      <c r="R3" s="58"/>
      <c r="S3" s="58"/>
    </row>
    <row r="4" spans="1:19" ht="27" customHeight="1" thickBot="1" x14ac:dyDescent="0.3">
      <c r="A4" s="426" t="s">
        <v>171</v>
      </c>
      <c r="B4" s="427"/>
      <c r="C4" s="427"/>
      <c r="D4" s="427"/>
      <c r="E4" s="427"/>
      <c r="F4" s="427"/>
      <c r="G4" s="427"/>
      <c r="H4" s="427"/>
      <c r="I4" s="427"/>
      <c r="J4" s="427"/>
      <c r="K4" s="428"/>
    </row>
    <row r="5" spans="1:19" s="6" customFormat="1" ht="24" customHeight="1" x14ac:dyDescent="0.3">
      <c r="A5" s="337" t="s">
        <v>13</v>
      </c>
      <c r="B5" s="339" t="s">
        <v>14</v>
      </c>
      <c r="C5" s="340"/>
      <c r="D5" s="340"/>
      <c r="E5" s="341"/>
      <c r="F5" s="202">
        <f>F6+F7+F8+F9+F10+F11+F12+F13+F14+F15+F16+F17+F18+F19+F20+F21+F22+F23</f>
        <v>62.053999999999995</v>
      </c>
      <c r="G5" s="342" t="s">
        <v>14</v>
      </c>
      <c r="H5" s="340"/>
      <c r="I5" s="341"/>
      <c r="J5" s="166">
        <f>J6+J7+J8+J9+J10+J11+J12+J13+J14+J15+J16+J17+J18+J19+J20+J21+J22+J23</f>
        <v>43.42501</v>
      </c>
      <c r="K5" s="166">
        <f>K6+K7+K8+K9+K10+K11+K12+K13+K14+K15+K16+K17+K18+K19+K20+K21+K22+K23</f>
        <v>18.628990000000002</v>
      </c>
      <c r="L5" s="59"/>
      <c r="M5" s="60"/>
      <c r="N5" s="18"/>
      <c r="O5" s="18"/>
      <c r="P5" s="18"/>
      <c r="Q5" s="18"/>
      <c r="R5" s="18"/>
      <c r="S5" s="59"/>
    </row>
    <row r="6" spans="1:19" s="18" customFormat="1" ht="18" customHeight="1" x14ac:dyDescent="0.25">
      <c r="A6" s="338"/>
      <c r="B6" s="116">
        <v>0</v>
      </c>
      <c r="C6" s="222">
        <v>9.1980000000000004</v>
      </c>
      <c r="D6" s="164" t="s">
        <v>172</v>
      </c>
      <c r="E6" s="200">
        <v>200</v>
      </c>
      <c r="F6" s="201">
        <v>9.1980000000000004</v>
      </c>
      <c r="G6" s="104">
        <v>0</v>
      </c>
      <c r="H6" s="104">
        <v>0</v>
      </c>
      <c r="I6" s="9" t="str">
        <f t="shared" ref="I6:I10" si="0">D6</f>
        <v>Дизельне паливо</v>
      </c>
      <c r="J6" s="171">
        <f>F6-K6</f>
        <v>0</v>
      </c>
      <c r="K6" s="181">
        <f>F6</f>
        <v>9.1980000000000004</v>
      </c>
    </row>
    <row r="7" spans="1:19" s="18" customFormat="1" ht="27.6" customHeight="1" x14ac:dyDescent="0.25">
      <c r="A7" s="338"/>
      <c r="B7" s="116">
        <v>0</v>
      </c>
      <c r="C7" s="201">
        <v>8.0299999999999994</v>
      </c>
      <c r="D7" s="164" t="s">
        <v>200</v>
      </c>
      <c r="E7" s="200">
        <v>2</v>
      </c>
      <c r="F7" s="201">
        <v>8.0299999999999994</v>
      </c>
      <c r="G7" s="104">
        <v>0</v>
      </c>
      <c r="H7" s="104">
        <v>0</v>
      </c>
      <c r="I7" s="9" t="str">
        <f t="shared" si="0"/>
        <v>Автогума Bridgestone Blizzak Revo GZ 185/60R15 845</v>
      </c>
      <c r="J7" s="171">
        <f t="shared" ref="J7:J10" si="1">F7</f>
        <v>8.0299999999999994</v>
      </c>
      <c r="K7" s="56">
        <f t="shared" ref="K7:K23" si="2">F7-J7</f>
        <v>0</v>
      </c>
    </row>
    <row r="8" spans="1:19" s="18" customFormat="1" ht="16.8" customHeight="1" x14ac:dyDescent="0.25">
      <c r="A8" s="338"/>
      <c r="B8" s="116">
        <v>0</v>
      </c>
      <c r="C8" s="201">
        <v>2.04</v>
      </c>
      <c r="D8" s="164" t="s">
        <v>181</v>
      </c>
      <c r="E8" s="200">
        <v>600</v>
      </c>
      <c r="F8" s="201">
        <v>2.04</v>
      </c>
      <c r="G8" s="104">
        <v>0</v>
      </c>
      <c r="H8" s="104">
        <v>0</v>
      </c>
      <c r="I8" s="9" t="str">
        <f t="shared" si="0"/>
        <v>Видаткова накладна</v>
      </c>
      <c r="J8" s="171">
        <f t="shared" si="1"/>
        <v>2.04</v>
      </c>
      <c r="K8" s="56">
        <f t="shared" si="2"/>
        <v>0</v>
      </c>
    </row>
    <row r="9" spans="1:19" s="18" customFormat="1" ht="31.5" customHeight="1" x14ac:dyDescent="0.25">
      <c r="A9" s="338"/>
      <c r="B9" s="116">
        <v>0</v>
      </c>
      <c r="C9" s="201">
        <v>1.7170000000000001</v>
      </c>
      <c r="D9" s="164" t="s">
        <v>182</v>
      </c>
      <c r="E9" s="200">
        <v>2</v>
      </c>
      <c r="F9" s="201">
        <v>1.7170000000000001</v>
      </c>
      <c r="G9" s="104">
        <v>0</v>
      </c>
      <c r="H9" s="104">
        <v>0</v>
      </c>
      <c r="I9" s="9" t="str">
        <f t="shared" si="0"/>
        <v>LUXEL панель врізна ультратонка LED 600*600мм 220-240V IP20</v>
      </c>
      <c r="J9" s="171">
        <f t="shared" si="1"/>
        <v>1.7170000000000001</v>
      </c>
      <c r="K9" s="56">
        <f t="shared" si="2"/>
        <v>0</v>
      </c>
    </row>
    <row r="10" spans="1:19" s="18" customFormat="1" ht="17.399999999999999" customHeight="1" x14ac:dyDescent="0.25">
      <c r="A10" s="338"/>
      <c r="B10" s="116">
        <v>0</v>
      </c>
      <c r="C10" s="201">
        <v>0.3</v>
      </c>
      <c r="D10" s="164" t="s">
        <v>183</v>
      </c>
      <c r="E10" s="200">
        <v>2</v>
      </c>
      <c r="F10" s="201">
        <v>0.3</v>
      </c>
      <c r="G10" s="104">
        <v>0</v>
      </c>
      <c r="H10" s="104">
        <v>0</v>
      </c>
      <c r="I10" s="9" t="str">
        <f t="shared" si="0"/>
        <v>Цемент ТЦ ІІА-В-500Р-Н 25кг</v>
      </c>
      <c r="J10" s="171">
        <f t="shared" si="1"/>
        <v>0.3</v>
      </c>
      <c r="K10" s="56">
        <f t="shared" si="2"/>
        <v>0</v>
      </c>
    </row>
    <row r="11" spans="1:19" s="18" customFormat="1" x14ac:dyDescent="0.25">
      <c r="A11" s="338"/>
      <c r="B11" s="116">
        <v>0</v>
      </c>
      <c r="C11" s="201">
        <v>0.313</v>
      </c>
      <c r="D11" s="184" t="s">
        <v>212</v>
      </c>
      <c r="E11" s="200">
        <v>2</v>
      </c>
      <c r="F11" s="201">
        <v>0.313</v>
      </c>
      <c r="G11" s="104">
        <v>0</v>
      </c>
      <c r="H11" s="104">
        <v>0</v>
      </c>
      <c r="I11" s="9" t="str">
        <f t="shared" ref="I11:I15" si="3">D11</f>
        <v>MASTER TOOL замазка літол - 24 100г</v>
      </c>
      <c r="J11" s="171">
        <f t="shared" ref="J11:J15" si="4">F11</f>
        <v>0.313</v>
      </c>
      <c r="K11" s="56">
        <f t="shared" si="2"/>
        <v>0</v>
      </c>
    </row>
    <row r="12" spans="1:19" s="18" customFormat="1" ht="31.5" customHeight="1" x14ac:dyDescent="0.25">
      <c r="A12" s="338"/>
      <c r="B12" s="116">
        <v>0</v>
      </c>
      <c r="C12" s="201">
        <v>0.16200000000000001</v>
      </c>
      <c r="D12" s="184" t="s">
        <v>213</v>
      </c>
      <c r="E12" s="200">
        <v>2</v>
      </c>
      <c r="F12" s="201">
        <v>0.16200000000000001</v>
      </c>
      <c r="G12" s="104">
        <v>0</v>
      </c>
      <c r="H12" s="104">
        <v>0</v>
      </c>
      <c r="I12" s="9" t="str">
        <f t="shared" si="3"/>
        <v>MASTER TOOL Ліска для тримера3,00млх15м "кручений квадрат"</v>
      </c>
      <c r="J12" s="171">
        <f t="shared" si="4"/>
        <v>0.16200000000000001</v>
      </c>
      <c r="K12" s="56">
        <f t="shared" si="2"/>
        <v>0</v>
      </c>
    </row>
    <row r="13" spans="1:19" s="18" customFormat="1" ht="27.6" customHeight="1" x14ac:dyDescent="0.25">
      <c r="A13" s="338"/>
      <c r="B13" s="116">
        <v>0</v>
      </c>
      <c r="C13" s="201">
        <v>0.80900000000000005</v>
      </c>
      <c r="D13" s="184" t="s">
        <v>214</v>
      </c>
      <c r="E13" s="200">
        <v>2</v>
      </c>
      <c r="F13" s="201">
        <v>0.80900000000000005</v>
      </c>
      <c r="G13" s="104">
        <v>0</v>
      </c>
      <c r="H13" s="104">
        <v>0</v>
      </c>
      <c r="I13" s="9" t="str">
        <f t="shared" si="3"/>
        <v>Зебра Емаль ПФ-115 "Народний МАЙСТЕР" 2,8кг 538 зелений мох</v>
      </c>
      <c r="J13" s="171">
        <f t="shared" si="4"/>
        <v>0.80900000000000005</v>
      </c>
      <c r="K13" s="56">
        <f t="shared" si="2"/>
        <v>0</v>
      </c>
    </row>
    <row r="14" spans="1:19" s="18" customFormat="1" ht="27" customHeight="1" x14ac:dyDescent="0.25">
      <c r="A14" s="338"/>
      <c r="B14" s="116">
        <v>0</v>
      </c>
      <c r="C14" s="201">
        <v>0.157</v>
      </c>
      <c r="D14" s="184" t="s">
        <v>215</v>
      </c>
      <c r="E14" s="200">
        <v>1</v>
      </c>
      <c r="F14" s="201">
        <v>0.157</v>
      </c>
      <c r="G14" s="104">
        <v>0</v>
      </c>
      <c r="H14" s="104">
        <v>0</v>
      </c>
      <c r="I14" s="9" t="str">
        <f t="shared" si="3"/>
        <v>Зебра Емаль ПФ-115 "Народний МАЙСТЕР" 0,9кг 575 червона калина</v>
      </c>
      <c r="J14" s="171">
        <f t="shared" si="4"/>
        <v>0.157</v>
      </c>
      <c r="K14" s="56">
        <f t="shared" si="2"/>
        <v>0</v>
      </c>
    </row>
    <row r="15" spans="1:19" s="18" customFormat="1" ht="15.6" customHeight="1" x14ac:dyDescent="0.25">
      <c r="A15" s="338"/>
      <c r="B15" s="116">
        <v>0</v>
      </c>
      <c r="C15" s="201">
        <v>2.1720000000000002</v>
      </c>
      <c r="D15" s="184" t="s">
        <v>218</v>
      </c>
      <c r="E15" s="200">
        <v>4</v>
      </c>
      <c r="F15" s="201">
        <v>2.1720000000000002</v>
      </c>
      <c r="G15" s="104">
        <v>0</v>
      </c>
      <c r="H15" s="104">
        <v>0</v>
      </c>
      <c r="I15" s="9" t="str">
        <f t="shared" si="3"/>
        <v>CЕRЕSIT клей для плитки СМ177 25кг</v>
      </c>
      <c r="J15" s="171">
        <f t="shared" si="4"/>
        <v>2.1720000000000002</v>
      </c>
      <c r="K15" s="56">
        <f t="shared" si="2"/>
        <v>0</v>
      </c>
    </row>
    <row r="16" spans="1:19" s="18" customFormat="1" ht="19.8" customHeight="1" x14ac:dyDescent="0.25">
      <c r="A16" s="338"/>
      <c r="B16" s="116">
        <v>0</v>
      </c>
      <c r="C16" s="201">
        <v>2.97</v>
      </c>
      <c r="D16" s="184" t="s">
        <v>216</v>
      </c>
      <c r="E16" s="200">
        <v>3</v>
      </c>
      <c r="F16" s="201">
        <v>2.97</v>
      </c>
      <c r="G16" s="104">
        <v>0</v>
      </c>
      <c r="H16" s="104">
        <v>0</v>
      </c>
      <c r="I16" s="9" t="str">
        <f t="shared" ref="I16:I17" si="5">D16</f>
        <v>31BEMI 203 оповіщувач звуковий</v>
      </c>
      <c r="J16" s="171">
        <f t="shared" ref="J16:J17" si="6">F16</f>
        <v>2.97</v>
      </c>
      <c r="K16" s="56">
        <f t="shared" si="2"/>
        <v>0</v>
      </c>
    </row>
    <row r="17" spans="1:19" s="18" customFormat="1" ht="28.2" customHeight="1" x14ac:dyDescent="0.25">
      <c r="A17" s="338"/>
      <c r="B17" s="116">
        <v>0</v>
      </c>
      <c r="C17" s="201">
        <v>1.746</v>
      </c>
      <c r="D17" s="184" t="s">
        <v>217</v>
      </c>
      <c r="E17" s="200">
        <v>3</v>
      </c>
      <c r="F17" s="201">
        <v>1.746</v>
      </c>
      <c r="G17" s="104">
        <v>0</v>
      </c>
      <c r="H17" s="104">
        <v>0</v>
      </c>
      <c r="I17" s="9" t="str">
        <f t="shared" si="5"/>
        <v>ОС 12У/5А (МРМ-АО12У5А блок живлення</v>
      </c>
      <c r="J17" s="171">
        <f t="shared" si="6"/>
        <v>1.746</v>
      </c>
      <c r="K17" s="56">
        <f t="shared" si="2"/>
        <v>0</v>
      </c>
    </row>
    <row r="18" spans="1:19" s="18" customFormat="1" ht="28.8" customHeight="1" x14ac:dyDescent="0.25">
      <c r="A18" s="338"/>
      <c r="B18" s="116">
        <v>0</v>
      </c>
      <c r="C18" s="201">
        <v>0.92</v>
      </c>
      <c r="D18" s="184" t="s">
        <v>219</v>
      </c>
      <c r="E18" s="200">
        <v>80</v>
      </c>
      <c r="F18" s="201">
        <v>0.92</v>
      </c>
      <c r="G18" s="104">
        <v>0</v>
      </c>
      <c r="H18" s="104">
        <v>0</v>
      </c>
      <c r="I18" s="9" t="str">
        <f t="shared" ref="I18:I20" si="7">D18</f>
        <v>Провод ШВВП  12*0,75 кабель живлення м.</v>
      </c>
      <c r="J18" s="171">
        <f t="shared" ref="J18:J19" si="8">F18</f>
        <v>0.92</v>
      </c>
      <c r="K18" s="56">
        <f t="shared" si="2"/>
        <v>0</v>
      </c>
    </row>
    <row r="19" spans="1:19" s="18" customFormat="1" ht="16.2" customHeight="1" x14ac:dyDescent="0.25">
      <c r="A19" s="338"/>
      <c r="B19" s="116">
        <v>0</v>
      </c>
      <c r="C19" s="201">
        <v>0.153</v>
      </c>
      <c r="D19" s="184" t="s">
        <v>220</v>
      </c>
      <c r="E19" s="200">
        <v>3</v>
      </c>
      <c r="F19" s="201">
        <v>0.153</v>
      </c>
      <c r="G19" s="104">
        <v>0</v>
      </c>
      <c r="H19" s="104">
        <v>0</v>
      </c>
      <c r="I19" s="9" t="str">
        <f t="shared" si="7"/>
        <v>Зажим для провода "универсал-2"</v>
      </c>
      <c r="J19" s="171">
        <f t="shared" si="8"/>
        <v>0.153</v>
      </c>
      <c r="K19" s="56">
        <f t="shared" si="2"/>
        <v>0</v>
      </c>
    </row>
    <row r="20" spans="1:19" s="18" customFormat="1" ht="16.8" customHeight="1" x14ac:dyDescent="0.25">
      <c r="A20" s="338"/>
      <c r="B20" s="116">
        <v>0</v>
      </c>
      <c r="C20" s="201">
        <v>10.788</v>
      </c>
      <c r="D20" s="185" t="s">
        <v>169</v>
      </c>
      <c r="E20" s="200">
        <v>200</v>
      </c>
      <c r="F20" s="201">
        <v>10.788</v>
      </c>
      <c r="G20" s="104">
        <v>0</v>
      </c>
      <c r="H20" s="104">
        <v>0</v>
      </c>
      <c r="I20" s="9" t="str">
        <f t="shared" si="7"/>
        <v>Бензин А-95 (в толонах)</v>
      </c>
      <c r="J20" s="171">
        <f>F20-K20</f>
        <v>1.3570100000000007</v>
      </c>
      <c r="K20" s="56">
        <v>9.4309899999999995</v>
      </c>
    </row>
    <row r="21" spans="1:19" s="18" customFormat="1" ht="16.8" customHeight="1" x14ac:dyDescent="0.25">
      <c r="A21" s="338"/>
      <c r="B21" s="116">
        <v>0</v>
      </c>
      <c r="C21" s="201">
        <v>8.9060000000000006</v>
      </c>
      <c r="D21" s="185" t="s">
        <v>230</v>
      </c>
      <c r="E21" s="200">
        <v>1</v>
      </c>
      <c r="F21" s="201">
        <v>8.9060000000000006</v>
      </c>
      <c r="G21" s="104">
        <v>0</v>
      </c>
      <c r="H21" s="104">
        <v>0</v>
      </c>
      <c r="I21" s="9" t="str">
        <f t="shared" ref="I21:I23" si="9">D21</f>
        <v xml:space="preserve">Огородження </v>
      </c>
      <c r="J21" s="171">
        <f t="shared" ref="J21:J23" si="10">F21</f>
        <v>8.9060000000000006</v>
      </c>
      <c r="K21" s="56">
        <f t="shared" si="2"/>
        <v>0</v>
      </c>
    </row>
    <row r="22" spans="1:19" s="18" customFormat="1" ht="13.8" customHeight="1" x14ac:dyDescent="0.25">
      <c r="A22" s="338"/>
      <c r="B22" s="116">
        <v>0</v>
      </c>
      <c r="C22" s="201">
        <v>0.6</v>
      </c>
      <c r="D22" s="185" t="s">
        <v>231</v>
      </c>
      <c r="E22" s="200">
        <v>4</v>
      </c>
      <c r="F22" s="201">
        <v>0.6</v>
      </c>
      <c r="G22" s="104">
        <v>0</v>
      </c>
      <c r="H22" s="104">
        <v>0</v>
      </c>
      <c r="I22" s="9" t="str">
        <f t="shared" si="9"/>
        <v>Цемент</v>
      </c>
      <c r="J22" s="171">
        <f t="shared" si="10"/>
        <v>0.6</v>
      </c>
      <c r="K22" s="56">
        <f t="shared" si="2"/>
        <v>0</v>
      </c>
    </row>
    <row r="23" spans="1:19" s="18" customFormat="1" ht="16.2" customHeight="1" thickBot="1" x14ac:dyDescent="0.3">
      <c r="A23" s="338"/>
      <c r="B23" s="116">
        <v>0</v>
      </c>
      <c r="C23" s="201">
        <v>11.073</v>
      </c>
      <c r="D23" s="185" t="s">
        <v>232</v>
      </c>
      <c r="E23" s="200">
        <v>1</v>
      </c>
      <c r="F23" s="201">
        <v>11.073</v>
      </c>
      <c r="G23" s="104">
        <v>0</v>
      </c>
      <c r="H23" s="104">
        <v>0</v>
      </c>
      <c r="I23" s="9" t="str">
        <f t="shared" si="9"/>
        <v>Будівельні матеріали та прилади</v>
      </c>
      <c r="J23" s="171">
        <f t="shared" si="10"/>
        <v>11.073</v>
      </c>
      <c r="K23" s="56">
        <f t="shared" si="2"/>
        <v>0</v>
      </c>
    </row>
    <row r="24" spans="1:19" s="6" customFormat="1" ht="28.8" customHeight="1" x14ac:dyDescent="0.3">
      <c r="A24" s="337" t="s">
        <v>154</v>
      </c>
      <c r="B24" s="330" t="s">
        <v>15</v>
      </c>
      <c r="C24" s="331"/>
      <c r="D24" s="331"/>
      <c r="E24" s="332"/>
      <c r="F24" s="203">
        <f>F25+F31+F39+F44+F50+F53+F56+F59+F63+F66</f>
        <v>265.45560999999998</v>
      </c>
      <c r="G24" s="333" t="s">
        <v>15</v>
      </c>
      <c r="H24" s="331"/>
      <c r="I24" s="332"/>
      <c r="J24" s="167">
        <f>J25+J31+J39+J44+J50+J53+J56+J59+J63+J66</f>
        <v>67.270989999999998</v>
      </c>
      <c r="K24" s="55">
        <f>K25+K31+K44+K50+K53+K56+K59+K63+K66+K39</f>
        <v>198.18462000000002</v>
      </c>
      <c r="L24" s="59"/>
      <c r="M24" s="59"/>
      <c r="N24" s="18"/>
      <c r="O24" s="18"/>
      <c r="P24" s="18"/>
      <c r="Q24" s="18"/>
      <c r="R24" s="18"/>
      <c r="S24" s="59"/>
    </row>
    <row r="25" spans="1:19" ht="16.8" customHeight="1" x14ac:dyDescent="0.25">
      <c r="A25" s="338"/>
      <c r="B25" s="417" t="s">
        <v>16</v>
      </c>
      <c r="C25" s="418"/>
      <c r="D25" s="418"/>
      <c r="E25" s="418"/>
      <c r="F25" s="204">
        <f>F26+F27+F28+F29+F30</f>
        <v>30.25658</v>
      </c>
      <c r="G25" s="418" t="s">
        <v>16</v>
      </c>
      <c r="H25" s="418"/>
      <c r="I25" s="418"/>
      <c r="J25" s="165">
        <f>J26+J27+J28+J29+J30</f>
        <v>0.98430999999999891</v>
      </c>
      <c r="K25" s="54">
        <f>SUM(K26:K30)</f>
        <v>29.272270000000002</v>
      </c>
    </row>
    <row r="26" spans="1:19" ht="31.2" customHeight="1" x14ac:dyDescent="0.25">
      <c r="A26" s="338"/>
      <c r="B26" s="116">
        <v>0</v>
      </c>
      <c r="C26" s="201">
        <v>1.272</v>
      </c>
      <c r="D26" s="9" t="s">
        <v>17</v>
      </c>
      <c r="E26" s="106">
        <v>0.2</v>
      </c>
      <c r="F26" s="201">
        <v>1.2718400000000001</v>
      </c>
      <c r="G26" s="104">
        <v>0</v>
      </c>
      <c r="H26" s="104">
        <v>0</v>
      </c>
      <c r="I26" s="9" t="str">
        <f t="shared" ref="I26:I30" si="11">D26</f>
        <v>Середовище культуральне Flushing Medium 5x60ml, паков</v>
      </c>
      <c r="J26" s="171">
        <f>F26-K26</f>
        <v>0</v>
      </c>
      <c r="K26" s="54">
        <f>F26</f>
        <v>1.2718400000000001</v>
      </c>
    </row>
    <row r="27" spans="1:19" ht="43.8" customHeight="1" x14ac:dyDescent="0.25">
      <c r="A27" s="338"/>
      <c r="B27" s="116">
        <v>0</v>
      </c>
      <c r="C27" s="201">
        <v>3.3029999999999999</v>
      </c>
      <c r="D27" s="30" t="s">
        <v>240</v>
      </c>
      <c r="E27" s="106">
        <v>1</v>
      </c>
      <c r="F27" s="201">
        <v>3.3033600000000001</v>
      </c>
      <c r="G27" s="104">
        <v>0</v>
      </c>
      <c r="H27" s="104">
        <v>0</v>
      </c>
      <c r="I27" s="9" t="str">
        <f t="shared" si="11"/>
        <v>Середовище культуральне UTMтм Transfer Medium 10 ml</v>
      </c>
      <c r="J27" s="171">
        <f>F27-K27</f>
        <v>0</v>
      </c>
      <c r="K27" s="54">
        <f>F27</f>
        <v>3.3033600000000001</v>
      </c>
    </row>
    <row r="28" spans="1:19" ht="32.25" customHeight="1" x14ac:dyDescent="0.25">
      <c r="A28" s="338"/>
      <c r="B28" s="116">
        <v>0</v>
      </c>
      <c r="C28" s="201">
        <v>16.611000000000001</v>
      </c>
      <c r="D28" s="9" t="s">
        <v>173</v>
      </c>
      <c r="E28" s="106">
        <v>1</v>
      </c>
      <c r="F28" s="201">
        <v>16.61131</v>
      </c>
      <c r="G28" s="104">
        <v>0</v>
      </c>
      <c r="H28" s="104">
        <v>0</v>
      </c>
      <c r="I28" s="9" t="str">
        <f t="shared" si="11"/>
        <v>Середовище культуральне ORIGIO SpermWash 5x60 ml</v>
      </c>
      <c r="J28" s="171">
        <f t="shared" ref="J28:J30" si="12">F28-K28</f>
        <v>0.98430999999999891</v>
      </c>
      <c r="K28" s="54">
        <v>15.627000000000001</v>
      </c>
    </row>
    <row r="29" spans="1:19" ht="32.25" customHeight="1" x14ac:dyDescent="0.25">
      <c r="A29" s="338"/>
      <c r="B29" s="116"/>
      <c r="C29" s="201">
        <v>2.4769999999999999</v>
      </c>
      <c r="D29" s="9" t="s">
        <v>237</v>
      </c>
      <c r="E29" s="106">
        <v>2</v>
      </c>
      <c r="F29" s="201">
        <v>2.47654</v>
      </c>
      <c r="G29" s="104"/>
      <c r="H29" s="104"/>
      <c r="I29" s="9" t="str">
        <f t="shared" si="11"/>
        <v xml:space="preserve">Середовище культуральне ORIGIO Seguential Fert™ 10ml </v>
      </c>
      <c r="J29" s="171">
        <f t="shared" si="12"/>
        <v>0</v>
      </c>
      <c r="K29" s="54">
        <f>F29</f>
        <v>2.47654</v>
      </c>
    </row>
    <row r="30" spans="1:19" ht="32.25" customHeight="1" x14ac:dyDescent="0.25">
      <c r="A30" s="338"/>
      <c r="B30" s="116">
        <v>0</v>
      </c>
      <c r="C30" s="201">
        <v>6.5940000000000003</v>
      </c>
      <c r="D30" s="9" t="s">
        <v>174</v>
      </c>
      <c r="E30" s="106">
        <v>3</v>
      </c>
      <c r="F30" s="201">
        <v>6.5935300000000003</v>
      </c>
      <c r="G30" s="104">
        <v>0</v>
      </c>
      <c r="H30" s="104">
        <v>0</v>
      </c>
      <c r="I30" s="9" t="str">
        <f t="shared" si="11"/>
        <v>Середовище культуральне SAGE 1-Step™ with Human Serum Albumin 10 ml</v>
      </c>
      <c r="J30" s="171">
        <f t="shared" si="12"/>
        <v>0</v>
      </c>
      <c r="K30" s="54">
        <f>F30</f>
        <v>6.5935300000000003</v>
      </c>
    </row>
    <row r="31" spans="1:19" ht="19.2" customHeight="1" x14ac:dyDescent="0.25">
      <c r="A31" s="338"/>
      <c r="B31" s="417" t="s">
        <v>16</v>
      </c>
      <c r="C31" s="418"/>
      <c r="D31" s="418"/>
      <c r="E31" s="418"/>
      <c r="F31" s="204">
        <f>F32+F33+F34+F35+F36+F37+F38</f>
        <v>41.281040000000004</v>
      </c>
      <c r="G31" s="418" t="s">
        <v>16</v>
      </c>
      <c r="H31" s="418"/>
      <c r="I31" s="418"/>
      <c r="J31" s="165">
        <f>J32+J33+J34+J35+J36+J37+J38</f>
        <v>1.7714900000000002</v>
      </c>
      <c r="K31" s="54">
        <f>SUM(K32:K38)</f>
        <v>39.509550000000004</v>
      </c>
    </row>
    <row r="32" spans="1:19" s="17" customFormat="1" ht="45.6" customHeight="1" x14ac:dyDescent="0.25">
      <c r="A32" s="338"/>
      <c r="B32" s="116">
        <v>0</v>
      </c>
      <c r="C32" s="201">
        <v>6.4720000000000004</v>
      </c>
      <c r="D32" s="186" t="s">
        <v>21</v>
      </c>
      <c r="E32" s="106">
        <v>3</v>
      </c>
      <c r="F32" s="201">
        <v>6.4720300000000002</v>
      </c>
      <c r="G32" s="104">
        <v>0</v>
      </c>
      <c r="H32" s="104">
        <v>0</v>
      </c>
      <c r="I32" s="9" t="str">
        <f t="shared" ref="I32:I38" si="13">D32</f>
        <v>Середовище культуральне SAGE 1-Step™ with Human Serum Albumin 10 ml, паков</v>
      </c>
      <c r="J32" s="171">
        <f t="shared" ref="J32:J38" si="14">F32-K32</f>
        <v>0</v>
      </c>
      <c r="K32" s="54">
        <f>F32</f>
        <v>6.4720300000000002</v>
      </c>
      <c r="L32" s="18"/>
      <c r="M32" s="18"/>
      <c r="N32" s="18"/>
      <c r="O32" s="18"/>
      <c r="P32" s="18"/>
      <c r="Q32" s="18"/>
      <c r="R32" s="18"/>
      <c r="S32" s="18"/>
    </row>
    <row r="33" spans="1:19" s="17" customFormat="1" ht="36.75" customHeight="1" x14ac:dyDescent="0.25">
      <c r="A33" s="338"/>
      <c r="B33" s="116">
        <v>0</v>
      </c>
      <c r="C33" s="201">
        <v>2.4300000000000002</v>
      </c>
      <c r="D33" s="30" t="s">
        <v>20</v>
      </c>
      <c r="E33" s="106">
        <v>2</v>
      </c>
      <c r="F33" s="201">
        <v>2.4308900000000002</v>
      </c>
      <c r="G33" s="104">
        <v>0</v>
      </c>
      <c r="H33" s="104">
        <v>0</v>
      </c>
      <c r="I33" s="9" t="str">
        <f t="shared" si="13"/>
        <v>Середовище культуральне ORIGIO Sequential Fert, 10 ml, паков</v>
      </c>
      <c r="J33" s="171">
        <f t="shared" si="14"/>
        <v>0</v>
      </c>
      <c r="K33" s="54">
        <f>F33</f>
        <v>2.4308900000000002</v>
      </c>
      <c r="L33" s="18"/>
      <c r="M33" s="18"/>
      <c r="N33" s="18"/>
      <c r="O33" s="18"/>
      <c r="P33" s="18"/>
      <c r="Q33" s="18"/>
      <c r="R33" s="18"/>
      <c r="S33" s="18"/>
    </row>
    <row r="34" spans="1:19" s="17" customFormat="1" ht="44.4" customHeight="1" x14ac:dyDescent="0.25">
      <c r="A34" s="338"/>
      <c r="B34" s="116">
        <v>0</v>
      </c>
      <c r="C34" s="201">
        <v>3.242</v>
      </c>
      <c r="D34" s="30" t="s">
        <v>19</v>
      </c>
      <c r="E34" s="106">
        <v>1</v>
      </c>
      <c r="F34" s="201">
        <v>3.2424900000000001</v>
      </c>
      <c r="G34" s="104">
        <v>0</v>
      </c>
      <c r="H34" s="104">
        <v>0</v>
      </c>
      <c r="I34" s="9" t="str">
        <f t="shared" si="13"/>
        <v>Середовище культуральне UTM Transfer Medium, with phenol red 10 ml, паков</v>
      </c>
      <c r="J34" s="171">
        <f t="shared" si="14"/>
        <v>1.72767</v>
      </c>
      <c r="K34" s="54">
        <v>1.5148200000000001</v>
      </c>
      <c r="L34" s="18"/>
      <c r="M34" s="18"/>
      <c r="N34" s="18"/>
      <c r="O34" s="18"/>
      <c r="P34" s="18"/>
      <c r="Q34" s="18"/>
      <c r="R34" s="18"/>
      <c r="S34" s="18"/>
    </row>
    <row r="35" spans="1:19" s="17" customFormat="1" ht="36.75" customHeight="1" x14ac:dyDescent="0.25">
      <c r="A35" s="338"/>
      <c r="B35" s="116">
        <v>0</v>
      </c>
      <c r="C35" s="201">
        <v>2.4969999999999999</v>
      </c>
      <c r="D35" s="30" t="s">
        <v>17</v>
      </c>
      <c r="E35" s="106">
        <v>0.4</v>
      </c>
      <c r="F35" s="201">
        <v>2.49682</v>
      </c>
      <c r="G35" s="104">
        <v>0</v>
      </c>
      <c r="H35" s="104">
        <v>0</v>
      </c>
      <c r="I35" s="9" t="str">
        <f t="shared" si="13"/>
        <v>Середовище культуральне Flushing Medium 5x60ml, паков</v>
      </c>
      <c r="J35" s="171">
        <f t="shared" si="14"/>
        <v>4.3820000000000192E-2</v>
      </c>
      <c r="K35" s="54">
        <v>2.4529999999999998</v>
      </c>
      <c r="L35" s="18"/>
      <c r="M35" s="18"/>
      <c r="N35" s="18"/>
      <c r="O35" s="18"/>
      <c r="P35" s="18"/>
      <c r="Q35" s="18"/>
      <c r="R35" s="18"/>
      <c r="S35" s="18"/>
    </row>
    <row r="36" spans="1:19" s="17" customFormat="1" ht="28.2" customHeight="1" x14ac:dyDescent="0.25">
      <c r="A36" s="338"/>
      <c r="B36" s="116"/>
      <c r="C36" s="201">
        <v>1.9590000000000001</v>
      </c>
      <c r="D36" s="9" t="s">
        <v>18</v>
      </c>
      <c r="E36" s="106">
        <v>0.2</v>
      </c>
      <c r="F36" s="201">
        <v>1.9588699999999999</v>
      </c>
      <c r="G36" s="104">
        <v>0</v>
      </c>
      <c r="H36" s="104">
        <v>0</v>
      </c>
      <c r="I36" s="9" t="str">
        <f t="shared" si="13"/>
        <v>Середовище культуральне ICSI Cumulase 5x0,5ml, паков</v>
      </c>
      <c r="J36" s="171">
        <f t="shared" si="14"/>
        <v>0</v>
      </c>
      <c r="K36" s="54">
        <f>F36</f>
        <v>1.9588699999999999</v>
      </c>
      <c r="L36" s="18"/>
      <c r="M36" s="18"/>
      <c r="N36" s="18"/>
      <c r="O36" s="18"/>
      <c r="P36" s="18"/>
      <c r="Q36" s="18"/>
      <c r="R36" s="18"/>
      <c r="S36" s="18"/>
    </row>
    <row r="37" spans="1:19" s="17" customFormat="1" ht="49.5" customHeight="1" x14ac:dyDescent="0.25">
      <c r="A37" s="338"/>
      <c r="B37" s="116">
        <v>0</v>
      </c>
      <c r="C37" s="201">
        <v>18.984999999999999</v>
      </c>
      <c r="D37" s="30" t="s">
        <v>26</v>
      </c>
      <c r="E37" s="104">
        <v>1</v>
      </c>
      <c r="F37" s="201">
        <v>18.984639999999999</v>
      </c>
      <c r="G37" s="104">
        <v>0</v>
      </c>
      <c r="H37" s="104">
        <v>0</v>
      </c>
      <c r="I37" s="9" t="str">
        <f t="shared" si="13"/>
        <v>Середовища культуральні PureCeption 24-Determination By-Layer Kit 12 x 12 ml, паков</v>
      </c>
      <c r="J37" s="171">
        <f t="shared" si="14"/>
        <v>0</v>
      </c>
      <c r="K37" s="54">
        <f>F37</f>
        <v>18.984639999999999</v>
      </c>
      <c r="L37" s="18"/>
      <c r="M37" s="18"/>
      <c r="N37" s="18"/>
      <c r="O37" s="18"/>
      <c r="P37" s="18"/>
      <c r="Q37" s="18"/>
      <c r="R37" s="18"/>
      <c r="S37" s="18"/>
    </row>
    <row r="38" spans="1:19" s="17" customFormat="1" ht="28.8" customHeight="1" x14ac:dyDescent="0.25">
      <c r="A38" s="338"/>
      <c r="B38" s="116">
        <v>0</v>
      </c>
      <c r="C38" s="201">
        <v>5.6950000000000003</v>
      </c>
      <c r="D38" s="164" t="s">
        <v>221</v>
      </c>
      <c r="E38" s="104">
        <v>1</v>
      </c>
      <c r="F38" s="201">
        <v>5.6952999999999996</v>
      </c>
      <c r="G38" s="104">
        <v>0</v>
      </c>
      <c r="H38" s="104">
        <v>0</v>
      </c>
      <c r="I38" s="9" t="str">
        <f t="shared" si="13"/>
        <v>STRIPPER® наконечник 1000µm, (20шт/уп) паков</v>
      </c>
      <c r="J38" s="171">
        <f t="shared" si="14"/>
        <v>0</v>
      </c>
      <c r="K38" s="56">
        <f>F38</f>
        <v>5.6952999999999996</v>
      </c>
      <c r="L38" s="18"/>
      <c r="M38" s="18"/>
      <c r="N38" s="18"/>
      <c r="O38" s="18"/>
      <c r="P38" s="18"/>
      <c r="Q38" s="18"/>
      <c r="R38" s="18"/>
      <c r="S38" s="18"/>
    </row>
    <row r="39" spans="1:19" s="18" customFormat="1" ht="22.2" customHeight="1" x14ac:dyDescent="0.25">
      <c r="A39" s="338"/>
      <c r="B39" s="343" t="s">
        <v>16</v>
      </c>
      <c r="C39" s="344"/>
      <c r="D39" s="344"/>
      <c r="E39" s="345"/>
      <c r="F39" s="204">
        <f>F40+F41+F42+F43</f>
        <v>20.983049999999999</v>
      </c>
      <c r="G39" s="346" t="s">
        <v>16</v>
      </c>
      <c r="H39" s="344"/>
      <c r="I39" s="345"/>
      <c r="J39" s="165">
        <f>J40+J41+J42+J43</f>
        <v>6.7051100000000012</v>
      </c>
      <c r="K39" s="54">
        <f>SUM(K40:K43)</f>
        <v>14.277940000000001</v>
      </c>
    </row>
    <row r="40" spans="1:19" s="18" customFormat="1" ht="46.5" customHeight="1" x14ac:dyDescent="0.25">
      <c r="A40" s="338"/>
      <c r="B40" s="116">
        <v>0</v>
      </c>
      <c r="C40" s="201">
        <f>F39:F40</f>
        <v>3.1860300000000001</v>
      </c>
      <c r="D40" s="30" t="s">
        <v>19</v>
      </c>
      <c r="E40" s="187">
        <v>1</v>
      </c>
      <c r="F40" s="201">
        <v>3.1860300000000001</v>
      </c>
      <c r="G40" s="104">
        <v>0</v>
      </c>
      <c r="H40" s="104">
        <v>0</v>
      </c>
      <c r="I40" s="9" t="str">
        <f t="shared" ref="I40:I42" si="15">D40</f>
        <v>Середовище культуральне UTM Transfer Medium, with phenol red 10 ml, паков</v>
      </c>
      <c r="J40" s="171">
        <f t="shared" ref="J40:J42" si="16">F40-K40</f>
        <v>3.1860300000000001</v>
      </c>
      <c r="K40" s="54">
        <v>0</v>
      </c>
    </row>
    <row r="41" spans="1:19" s="18" customFormat="1" ht="37.5" customHeight="1" x14ac:dyDescent="0.25">
      <c r="A41" s="338"/>
      <c r="B41" s="116">
        <v>0</v>
      </c>
      <c r="C41" s="201">
        <f t="shared" ref="C41" si="17">F40:F41</f>
        <v>1.22668</v>
      </c>
      <c r="D41" s="30" t="s">
        <v>17</v>
      </c>
      <c r="E41" s="187">
        <v>0.2</v>
      </c>
      <c r="F41" s="201">
        <v>1.22668</v>
      </c>
      <c r="G41" s="104">
        <v>0</v>
      </c>
      <c r="H41" s="104">
        <v>0</v>
      </c>
      <c r="I41" s="9" t="str">
        <f t="shared" si="15"/>
        <v>Середовище культуральне Flushing Medium 5x60ml, паков</v>
      </c>
      <c r="J41" s="171">
        <f t="shared" si="16"/>
        <v>1.22668</v>
      </c>
      <c r="K41" s="54">
        <v>0</v>
      </c>
    </row>
    <row r="42" spans="1:19" s="18" customFormat="1" ht="37.5" customHeight="1" x14ac:dyDescent="0.25">
      <c r="A42" s="338"/>
      <c r="B42" s="116">
        <v>0</v>
      </c>
      <c r="C42" s="201">
        <v>5.9710000000000001</v>
      </c>
      <c r="D42" s="30" t="s">
        <v>20</v>
      </c>
      <c r="E42" s="187">
        <v>5</v>
      </c>
      <c r="F42" s="201">
        <v>5.9714</v>
      </c>
      <c r="G42" s="104">
        <v>0</v>
      </c>
      <c r="H42" s="104">
        <v>0</v>
      </c>
      <c r="I42" s="9" t="str">
        <f t="shared" si="15"/>
        <v>Середовище культуральне ORIGIO Sequential Fert, 10 ml, паков</v>
      </c>
      <c r="J42" s="171">
        <f t="shared" si="16"/>
        <v>0</v>
      </c>
      <c r="K42" s="54">
        <f>F42</f>
        <v>5.9714</v>
      </c>
    </row>
    <row r="43" spans="1:19" s="18" customFormat="1" ht="43.8" customHeight="1" thickBot="1" x14ac:dyDescent="0.3">
      <c r="A43" s="338"/>
      <c r="B43" s="116">
        <v>0</v>
      </c>
      <c r="C43" s="201">
        <f t="shared" ref="C43" si="18">F42:F43</f>
        <v>10.598940000000001</v>
      </c>
      <c r="D43" s="30" t="s">
        <v>21</v>
      </c>
      <c r="E43" s="187">
        <v>5</v>
      </c>
      <c r="F43" s="201">
        <v>10.598940000000001</v>
      </c>
      <c r="G43" s="104">
        <v>0</v>
      </c>
      <c r="H43" s="104">
        <v>0</v>
      </c>
      <c r="I43" s="9" t="str">
        <f t="shared" ref="I43" si="19">D43</f>
        <v>Середовище культуральне SAGE 1-Step™ with Human Serum Albumin 10 ml, паков</v>
      </c>
      <c r="J43" s="171">
        <f t="shared" ref="J43" si="20">F43-K43</f>
        <v>2.2924000000000007</v>
      </c>
      <c r="K43" s="54">
        <v>8.30654</v>
      </c>
    </row>
    <row r="44" spans="1:19" ht="23.4" customHeight="1" x14ac:dyDescent="0.25">
      <c r="A44" s="337" t="s">
        <v>154</v>
      </c>
      <c r="B44" s="429" t="s">
        <v>16</v>
      </c>
      <c r="C44" s="430"/>
      <c r="D44" s="430"/>
      <c r="E44" s="430"/>
      <c r="F44" s="203">
        <f>F45+F46+F47+F48+F49</f>
        <v>47.197150000000001</v>
      </c>
      <c r="G44" s="430" t="s">
        <v>16</v>
      </c>
      <c r="H44" s="430"/>
      <c r="I44" s="430"/>
      <c r="J44" s="172">
        <f t="shared" ref="J44:J54" si="21">F44-K44</f>
        <v>10.38794</v>
      </c>
      <c r="K44" s="57">
        <f>SUM(K45:K49)</f>
        <v>36.80921</v>
      </c>
    </row>
    <row r="45" spans="1:19" ht="37.5" customHeight="1" x14ac:dyDescent="0.25">
      <c r="A45" s="338"/>
      <c r="B45" s="116">
        <v>0</v>
      </c>
      <c r="C45" s="201">
        <v>8.15</v>
      </c>
      <c r="D45" s="9" t="s">
        <v>175</v>
      </c>
      <c r="E45" s="106">
        <v>1</v>
      </c>
      <c r="F45" s="201">
        <v>9.2951599999999992</v>
      </c>
      <c r="G45" s="104">
        <v>0</v>
      </c>
      <c r="H45" s="104">
        <v>0</v>
      </c>
      <c r="I45" s="9" t="str">
        <f t="shared" ref="I45:I49" si="22">D45</f>
        <v>205 Середовища для розморожування (середовища 14,4 мл), шт</v>
      </c>
      <c r="J45" s="171">
        <f t="shared" si="21"/>
        <v>1.6427999999999994</v>
      </c>
      <c r="K45" s="54">
        <v>7.6523599999999998</v>
      </c>
    </row>
    <row r="46" spans="1:19" ht="37.5" customHeight="1" x14ac:dyDescent="0.25">
      <c r="A46" s="338"/>
      <c r="B46" s="116">
        <v>0</v>
      </c>
      <c r="C46" s="201">
        <v>9.2949999999999999</v>
      </c>
      <c r="D46" s="9" t="s">
        <v>175</v>
      </c>
      <c r="E46" s="106">
        <v>1</v>
      </c>
      <c r="F46" s="201">
        <v>8.1509900000000002</v>
      </c>
      <c r="G46" s="104">
        <v>0</v>
      </c>
      <c r="H46" s="104">
        <v>0</v>
      </c>
      <c r="I46" s="9" t="str">
        <f t="shared" si="22"/>
        <v>205 Середовища для розморожування (середовища 14,4 мл), шт</v>
      </c>
      <c r="J46" s="171">
        <v>9.3000000000000007</v>
      </c>
      <c r="K46" s="54">
        <v>0</v>
      </c>
    </row>
    <row r="47" spans="1:19" ht="37.5" customHeight="1" x14ac:dyDescent="0.25">
      <c r="A47" s="338"/>
      <c r="B47" s="116">
        <v>0</v>
      </c>
      <c r="C47" s="201">
        <v>14.872</v>
      </c>
      <c r="D47" s="9" t="s">
        <v>34</v>
      </c>
      <c r="E47" s="106">
        <v>2</v>
      </c>
      <c r="F47" s="201">
        <v>14.872249999999999</v>
      </c>
      <c r="G47" s="104">
        <v>0</v>
      </c>
      <c r="H47" s="104">
        <v>0</v>
      </c>
      <c r="I47" s="9" t="str">
        <f t="shared" si="22"/>
        <v>CR Соломини для вітрифікації (заморожування) Cryotec (10 од/уп), паков</v>
      </c>
      <c r="J47" s="171">
        <f t="shared" si="21"/>
        <v>0</v>
      </c>
      <c r="K47" s="54">
        <f>F47</f>
        <v>14.872249999999999</v>
      </c>
    </row>
    <row r="48" spans="1:19" ht="28.8" customHeight="1" x14ac:dyDescent="0.25">
      <c r="A48" s="338"/>
      <c r="B48" s="116">
        <v>0</v>
      </c>
      <c r="C48" s="201">
        <v>10.343</v>
      </c>
      <c r="D48" s="9" t="s">
        <v>177</v>
      </c>
      <c r="E48" s="106">
        <v>2</v>
      </c>
      <c r="F48" s="201">
        <v>10.343529999999999</v>
      </c>
      <c r="G48" s="104">
        <v>0</v>
      </c>
      <c r="H48" s="104">
        <v>0</v>
      </c>
      <c r="I48" s="9" t="s">
        <v>177</v>
      </c>
      <c r="J48" s="171">
        <f t="shared" si="21"/>
        <v>0.59414999999999907</v>
      </c>
      <c r="K48" s="54">
        <v>9.7493800000000004</v>
      </c>
    </row>
    <row r="49" spans="1:18" ht="31.8" customHeight="1" x14ac:dyDescent="0.25">
      <c r="A49" s="338"/>
      <c r="B49" s="116">
        <v>0</v>
      </c>
      <c r="C49" s="201">
        <v>4.5350000000000001</v>
      </c>
      <c r="D49" s="9" t="s">
        <v>28</v>
      </c>
      <c r="E49" s="106">
        <v>1</v>
      </c>
      <c r="F49" s="201">
        <v>4.5352199999999998</v>
      </c>
      <c r="G49" s="104">
        <v>0</v>
      </c>
      <c r="H49" s="104">
        <v>0</v>
      </c>
      <c r="I49" s="9" t="str">
        <f t="shared" si="22"/>
        <v>WP Пластикова чашка для вітрифікації (10 од/уп), паков</v>
      </c>
      <c r="J49" s="171">
        <f t="shared" si="21"/>
        <v>0</v>
      </c>
      <c r="K49" s="54">
        <f>F49</f>
        <v>4.5352199999999998</v>
      </c>
    </row>
    <row r="50" spans="1:18" ht="23.4" customHeight="1" x14ac:dyDescent="0.25">
      <c r="A50" s="338"/>
      <c r="B50" s="417" t="s">
        <v>16</v>
      </c>
      <c r="C50" s="418"/>
      <c r="D50" s="418"/>
      <c r="E50" s="418"/>
      <c r="F50" s="204">
        <f>F51+F52</f>
        <v>13.376110000000001</v>
      </c>
      <c r="G50" s="418" t="s">
        <v>16</v>
      </c>
      <c r="H50" s="418"/>
      <c r="I50" s="418"/>
      <c r="J50" s="171">
        <f t="shared" si="21"/>
        <v>0.50646000000000058</v>
      </c>
      <c r="K50" s="54">
        <f>SUM(K51:K52)</f>
        <v>12.86965</v>
      </c>
    </row>
    <row r="51" spans="1:18" ht="39.75" customHeight="1" x14ac:dyDescent="0.25">
      <c r="A51" s="338"/>
      <c r="B51" s="116">
        <v>0</v>
      </c>
      <c r="C51" s="201">
        <f>F49:F51</f>
        <v>5.6429900000000002</v>
      </c>
      <c r="D51" s="9" t="s">
        <v>29</v>
      </c>
      <c r="E51" s="106">
        <v>1</v>
      </c>
      <c r="F51" s="201">
        <v>5.6429900000000002</v>
      </c>
      <c r="G51" s="104">
        <v>0</v>
      </c>
      <c r="H51" s="104">
        <v>0</v>
      </c>
      <c r="I51" s="9" t="str">
        <f t="shared" ref="I51:I52" si="23">D51</f>
        <v>SPD-30 Мікропіпетки для часткового розсічення зони пелюсіда, з кутом 30° (10 од/уп)</v>
      </c>
      <c r="J51" s="171">
        <f t="shared" si="21"/>
        <v>0.50646000000000058</v>
      </c>
      <c r="K51" s="54">
        <v>5.1365299999999996</v>
      </c>
    </row>
    <row r="52" spans="1:18" ht="39.75" customHeight="1" x14ac:dyDescent="0.25">
      <c r="A52" s="338"/>
      <c r="B52" s="116">
        <v>0</v>
      </c>
      <c r="C52" s="201">
        <f t="shared" ref="C52" si="24">F51:F52</f>
        <v>7.7331200000000004</v>
      </c>
      <c r="D52" s="9" t="s">
        <v>30</v>
      </c>
      <c r="E52" s="106">
        <v>1</v>
      </c>
      <c r="F52" s="201">
        <v>7.7331200000000004</v>
      </c>
      <c r="G52" s="104">
        <v>0</v>
      </c>
      <c r="H52" s="104">
        <v>0</v>
      </c>
      <c r="I52" s="9" t="str">
        <f t="shared" si="23"/>
        <v>SIC-50W-35 Інжекторні мікропіпетки для проведення ІКСІ ID:5,0 мм/35° (10 од/уп)</v>
      </c>
      <c r="J52" s="171">
        <f t="shared" si="21"/>
        <v>0</v>
      </c>
      <c r="K52" s="54">
        <f>F52</f>
        <v>7.7331200000000004</v>
      </c>
    </row>
    <row r="53" spans="1:18" ht="19.2" customHeight="1" x14ac:dyDescent="0.25">
      <c r="A53" s="338"/>
      <c r="B53" s="417" t="s">
        <v>16</v>
      </c>
      <c r="C53" s="418"/>
      <c r="D53" s="418"/>
      <c r="E53" s="418"/>
      <c r="F53" s="204">
        <f>F54+F55</f>
        <v>18.67248</v>
      </c>
      <c r="G53" s="418" t="s">
        <v>16</v>
      </c>
      <c r="H53" s="418"/>
      <c r="I53" s="418"/>
      <c r="J53" s="171">
        <f t="shared" si="21"/>
        <v>0</v>
      </c>
      <c r="K53" s="54">
        <f>SUM(K54:K55)</f>
        <v>18.67248</v>
      </c>
    </row>
    <row r="54" spans="1:18" s="18" customFormat="1" ht="30" customHeight="1" x14ac:dyDescent="0.3">
      <c r="A54" s="338"/>
      <c r="B54" s="116">
        <v>0</v>
      </c>
      <c r="C54" s="201">
        <f>F52:F54</f>
        <v>10.78848</v>
      </c>
      <c r="D54" s="9" t="s">
        <v>178</v>
      </c>
      <c r="E54" s="104">
        <v>120</v>
      </c>
      <c r="F54" s="201">
        <v>10.78848</v>
      </c>
      <c r="G54" s="104">
        <v>0</v>
      </c>
      <c r="H54" s="104">
        <v>0</v>
      </c>
      <c r="I54" s="9" t="str">
        <f t="shared" ref="I54:I55" si="25">D54</f>
        <v>OOPW-FW03 Oosafe 4 лукова чашка, оброблена поверхня,4шт/уп.120шт/ящ</v>
      </c>
      <c r="J54" s="171">
        <f t="shared" si="21"/>
        <v>0</v>
      </c>
      <c r="K54" s="54">
        <f>F54</f>
        <v>10.78848</v>
      </c>
      <c r="N54" s="59"/>
      <c r="O54" s="59"/>
      <c r="P54" s="59"/>
      <c r="Q54" s="59"/>
      <c r="R54" s="59"/>
    </row>
    <row r="55" spans="1:18" s="18" customFormat="1" ht="34.200000000000003" customHeight="1" x14ac:dyDescent="0.25">
      <c r="A55" s="338"/>
      <c r="B55" s="116">
        <v>0</v>
      </c>
      <c r="C55" s="201">
        <f t="shared" ref="C55" si="26">F54:F55</f>
        <v>7.8840000000000003</v>
      </c>
      <c r="D55" s="9" t="s">
        <v>179</v>
      </c>
      <c r="E55" s="104">
        <v>500</v>
      </c>
      <c r="F55" s="201">
        <v>7.8840000000000003</v>
      </c>
      <c r="G55" s="104">
        <v>0</v>
      </c>
      <c r="H55" s="104">
        <v>0</v>
      </c>
      <c r="I55" s="9" t="str">
        <f t="shared" si="25"/>
        <v>OOPW-ОТ10  Oosafe пробирка для заборуооцитів14мл.10шт/уп. 500шт/ящ</v>
      </c>
      <c r="J55" s="171">
        <f>F55-K55</f>
        <v>0</v>
      </c>
      <c r="K55" s="54">
        <f>F55</f>
        <v>7.8840000000000003</v>
      </c>
    </row>
    <row r="56" spans="1:18" s="18" customFormat="1" ht="17.399999999999999" customHeight="1" x14ac:dyDescent="0.25">
      <c r="A56" s="338"/>
      <c r="B56" s="417" t="s">
        <v>16</v>
      </c>
      <c r="C56" s="418"/>
      <c r="D56" s="418"/>
      <c r="E56" s="418"/>
      <c r="F56" s="204">
        <f>F57+F58</f>
        <v>10.00572</v>
      </c>
      <c r="G56" s="418" t="s">
        <v>16</v>
      </c>
      <c r="H56" s="418"/>
      <c r="I56" s="418"/>
      <c r="J56" s="165">
        <f>J57+J58</f>
        <v>1.6142599999999989</v>
      </c>
      <c r="K56" s="54">
        <f>SUM(K57:K58)</f>
        <v>8.3914600000000004</v>
      </c>
    </row>
    <row r="57" spans="1:18" s="18" customFormat="1" ht="30" customHeight="1" x14ac:dyDescent="0.25">
      <c r="A57" s="338"/>
      <c r="B57" s="188"/>
      <c r="C57" s="222">
        <f>F54:F57</f>
        <v>9.7799999999999994</v>
      </c>
      <c r="D57" s="9" t="s">
        <v>233</v>
      </c>
      <c r="E57" s="46">
        <v>500</v>
      </c>
      <c r="F57" s="201">
        <v>9.7799999999999994</v>
      </c>
      <c r="G57" s="189"/>
      <c r="H57" s="189"/>
      <c r="I57" s="9" t="str">
        <f t="shared" ref="I57:I70" si="27">D57</f>
        <v>OOTF-TF06 Oosafe 35 мм чашка, необроблена поверхність, шт</v>
      </c>
      <c r="J57" s="171">
        <f>F57-K57</f>
        <v>1.456389999999999</v>
      </c>
      <c r="K57" s="54">
        <v>8.3236100000000004</v>
      </c>
    </row>
    <row r="58" spans="1:18" s="18" customFormat="1" ht="27.6" x14ac:dyDescent="0.3">
      <c r="A58" s="338"/>
      <c r="B58" s="116">
        <v>0</v>
      </c>
      <c r="C58" s="222">
        <f>F55:F58</f>
        <v>0.22572</v>
      </c>
      <c r="D58" s="9" t="s">
        <v>33</v>
      </c>
      <c r="E58" s="104">
        <v>10</v>
      </c>
      <c r="F58" s="201">
        <v>0.22572</v>
      </c>
      <c r="G58" s="104">
        <v>0</v>
      </c>
      <c r="H58" s="104">
        <v>0</v>
      </c>
      <c r="I58" s="9" t="str">
        <f t="shared" si="27"/>
        <v>OOPW-IC06 Oosafe 50 мм чашка, тонка стінка, необроблена поверхня, шт.</v>
      </c>
      <c r="J58" s="171">
        <f>F58-K58</f>
        <v>0.15787000000000001</v>
      </c>
      <c r="K58" s="54">
        <v>6.7849999999999994E-2</v>
      </c>
      <c r="N58" s="59"/>
      <c r="O58" s="59"/>
      <c r="P58" s="59"/>
      <c r="Q58" s="59"/>
      <c r="R58" s="59"/>
    </row>
    <row r="59" spans="1:18" s="18" customFormat="1" ht="20.399999999999999" customHeight="1" x14ac:dyDescent="0.25">
      <c r="A59" s="338"/>
      <c r="B59" s="417" t="s">
        <v>16</v>
      </c>
      <c r="C59" s="418"/>
      <c r="D59" s="418"/>
      <c r="E59" s="418"/>
      <c r="F59" s="204">
        <f>F60+F61+F62</f>
        <v>25.151609999999998</v>
      </c>
      <c r="G59" s="418" t="s">
        <v>16</v>
      </c>
      <c r="H59" s="418"/>
      <c r="I59" s="418"/>
      <c r="J59" s="165">
        <f>J60+J61+J62</f>
        <v>19.498250000000002</v>
      </c>
      <c r="K59" s="54">
        <f>SUM(K60:K62)</f>
        <v>5.6533599999999993</v>
      </c>
    </row>
    <row r="60" spans="1:18" s="18" customFormat="1" ht="27.6" x14ac:dyDescent="0.25">
      <c r="A60" s="338"/>
      <c r="B60" s="116">
        <v>0</v>
      </c>
      <c r="C60" s="201">
        <f>F58:F60</f>
        <v>8.2153500000000008</v>
      </c>
      <c r="D60" s="9" t="s">
        <v>188</v>
      </c>
      <c r="E60" s="106">
        <v>1</v>
      </c>
      <c r="F60" s="201">
        <v>8.2153500000000008</v>
      </c>
      <c r="G60" s="104">
        <v>0</v>
      </c>
      <c r="H60" s="104">
        <v>0</v>
      </c>
      <c r="I60" s="9" t="str">
        <f t="shared" si="27"/>
        <v xml:space="preserve">205 Середовища для розморожування (середовища 14,4мл) </v>
      </c>
      <c r="J60" s="171">
        <f>F60-K60</f>
        <v>8.2153500000000008</v>
      </c>
      <c r="K60" s="54">
        <v>0</v>
      </c>
    </row>
    <row r="61" spans="1:18" s="18" customFormat="1" ht="27.6" customHeight="1" x14ac:dyDescent="0.25">
      <c r="A61" s="338"/>
      <c r="B61" s="116">
        <v>0</v>
      </c>
      <c r="C61" s="201">
        <f t="shared" ref="C61:C69" si="28">F60:F61</f>
        <v>9.1422100000000004</v>
      </c>
      <c r="D61" s="9" t="s">
        <v>189</v>
      </c>
      <c r="E61" s="106">
        <v>2</v>
      </c>
      <c r="F61" s="201">
        <v>9.1422100000000004</v>
      </c>
      <c r="G61" s="104">
        <v>0</v>
      </c>
      <c r="H61" s="104">
        <v>0</v>
      </c>
      <c r="I61" s="9" t="str">
        <f t="shared" si="27"/>
        <v>WP Пластикова чашка для вітрифікації (10 од/уп)</v>
      </c>
      <c r="J61" s="77">
        <f t="shared" ref="J61:J62" si="29">F61-K61</f>
        <v>5.8776500000000009</v>
      </c>
      <c r="K61" s="54">
        <v>3.2645599999999999</v>
      </c>
    </row>
    <row r="62" spans="1:18" s="18" customFormat="1" ht="42" customHeight="1" x14ac:dyDescent="0.25">
      <c r="A62" s="338"/>
      <c r="B62" s="116">
        <v>0</v>
      </c>
      <c r="C62" s="201">
        <f t="shared" si="28"/>
        <v>7.7940500000000004</v>
      </c>
      <c r="D62" s="9" t="s">
        <v>30</v>
      </c>
      <c r="E62" s="106">
        <v>1</v>
      </c>
      <c r="F62" s="201">
        <v>7.7940500000000004</v>
      </c>
      <c r="G62" s="104">
        <v>0</v>
      </c>
      <c r="H62" s="104">
        <v>0</v>
      </c>
      <c r="I62" s="9" t="str">
        <f t="shared" si="27"/>
        <v>SIC-50W-35 Інжекторні мікропіпетки для проведення ІКСІ ID:5,0 мм/35° (10 од/уп)</v>
      </c>
      <c r="J62" s="77">
        <f t="shared" si="29"/>
        <v>5.4052500000000006</v>
      </c>
      <c r="K62" s="54">
        <v>2.3887999999999998</v>
      </c>
    </row>
    <row r="63" spans="1:18" s="18" customFormat="1" ht="19.2" customHeight="1" x14ac:dyDescent="0.25">
      <c r="A63" s="338"/>
      <c r="B63" s="417" t="s">
        <v>16</v>
      </c>
      <c r="C63" s="418"/>
      <c r="D63" s="418"/>
      <c r="E63" s="418"/>
      <c r="F63" s="204">
        <f>F64+F65</f>
        <v>16.910869999999999</v>
      </c>
      <c r="G63" s="418" t="s">
        <v>16</v>
      </c>
      <c r="H63" s="418"/>
      <c r="I63" s="418"/>
      <c r="J63" s="173">
        <f t="shared" ref="J63:J67" si="30">F63-K63</f>
        <v>11.426279999999998</v>
      </c>
      <c r="K63" s="54">
        <f>SUM(K65)</f>
        <v>5.4845899999999999</v>
      </c>
    </row>
    <row r="64" spans="1:18" s="18" customFormat="1" ht="66.599999999999994" customHeight="1" x14ac:dyDescent="0.25">
      <c r="A64" s="338"/>
      <c r="B64" s="116">
        <v>0</v>
      </c>
      <c r="C64" s="201">
        <f t="shared" ref="C64" si="31">F63:F64</f>
        <v>11.42628</v>
      </c>
      <c r="D64" s="30" t="s">
        <v>186</v>
      </c>
      <c r="E64" s="190">
        <v>10</v>
      </c>
      <c r="F64" s="201">
        <v>11.42628</v>
      </c>
      <c r="G64" s="104">
        <v>0</v>
      </c>
      <c r="H64" s="104">
        <v>0</v>
      </c>
      <c r="I64" s="9" t="str">
        <f t="shared" ref="I64:I65" si="32">D64</f>
        <v>K-JETS-7019-ЕТ Вигнутий катетер для переносу ембріонів з ЕСНО наконечніком, трансферний катетер 2.8Fr-24cm та навігаційний катетер 6.6Fr-17.3cm, шт</v>
      </c>
      <c r="J64" s="171">
        <f>F64-K64</f>
        <v>0</v>
      </c>
      <c r="K64" s="54">
        <f>F64</f>
        <v>11.42628</v>
      </c>
    </row>
    <row r="65" spans="1:19" s="18" customFormat="1" ht="63" thickBot="1" x14ac:dyDescent="0.3">
      <c r="A65" s="338"/>
      <c r="B65" s="118">
        <v>0</v>
      </c>
      <c r="C65" s="205">
        <f>F63:F65</f>
        <v>5.4845899999999999</v>
      </c>
      <c r="D65" s="168" t="s">
        <v>187</v>
      </c>
      <c r="E65" s="191">
        <v>1</v>
      </c>
      <c r="F65" s="205">
        <v>5.4845899999999999</v>
      </c>
      <c r="G65" s="113">
        <v>0</v>
      </c>
      <c r="H65" s="113">
        <v>0</v>
      </c>
      <c r="I65" s="21" t="str">
        <f t="shared" si="32"/>
        <v>K-НРІР-1035 Холдінгові мікропіпетки для проведення ІКСІ вн. діаметр 17um зовнішний діаметр 80um та кутом 35 градусів 10 одиниць в упаковці</v>
      </c>
      <c r="J65" s="174">
        <f>F65-K65</f>
        <v>0</v>
      </c>
      <c r="K65" s="53">
        <f>F65</f>
        <v>5.4845899999999999</v>
      </c>
    </row>
    <row r="66" spans="1:19" s="18" customFormat="1" ht="22.2" customHeight="1" x14ac:dyDescent="0.25">
      <c r="A66" s="338"/>
      <c r="B66" s="417" t="s">
        <v>16</v>
      </c>
      <c r="C66" s="418"/>
      <c r="D66" s="418"/>
      <c r="E66" s="418"/>
      <c r="F66" s="204">
        <f>F67+F68+F69+F70</f>
        <v>41.620999999999995</v>
      </c>
      <c r="G66" s="418" t="s">
        <v>16</v>
      </c>
      <c r="H66" s="418"/>
      <c r="I66" s="418"/>
      <c r="J66" s="173">
        <f t="shared" si="30"/>
        <v>14.376889999999996</v>
      </c>
      <c r="K66" s="54">
        <f>SUM(K67:K70)</f>
        <v>27.244109999999999</v>
      </c>
    </row>
    <row r="67" spans="1:19" ht="52.5" customHeight="1" x14ac:dyDescent="0.25">
      <c r="A67" s="338"/>
      <c r="B67" s="116">
        <v>0</v>
      </c>
      <c r="C67" s="201">
        <f>F65:F67</f>
        <v>8.3149999999999995</v>
      </c>
      <c r="D67" s="30" t="s">
        <v>36</v>
      </c>
      <c r="E67" s="190">
        <v>1</v>
      </c>
      <c r="F67" s="201">
        <v>8.3149999999999995</v>
      </c>
      <c r="G67" s="104">
        <v>0</v>
      </c>
      <c r="H67" s="104">
        <v>0</v>
      </c>
      <c r="I67" s="9" t="str">
        <f t="shared" si="27"/>
        <v>K-FPIP-1300-10BS-5 Піпетки для денудації 300 мікрон 5 туб по 10 піпеток (50од./уп.), паков</v>
      </c>
      <c r="J67" s="171">
        <f t="shared" si="30"/>
        <v>2.1223599999999996</v>
      </c>
      <c r="K67" s="54">
        <v>6.1926399999999999</v>
      </c>
    </row>
    <row r="68" spans="1:19" ht="63" customHeight="1" x14ac:dyDescent="0.3">
      <c r="A68" s="338"/>
      <c r="B68" s="116">
        <v>0</v>
      </c>
      <c r="C68" s="201">
        <f t="shared" si="28"/>
        <v>10.9</v>
      </c>
      <c r="D68" s="30" t="s">
        <v>31</v>
      </c>
      <c r="E68" s="190">
        <v>10</v>
      </c>
      <c r="F68" s="201">
        <v>10.9</v>
      </c>
      <c r="G68" s="104">
        <v>0</v>
      </c>
      <c r="H68" s="104">
        <v>0</v>
      </c>
      <c r="I68" s="9" t="str">
        <f t="shared" si="27"/>
        <v>K-JETS-7019 Вигнутий катетер для переносу ембріонів, трансферний катетер 2.8Fr-24cm та навігаційний катетер 6.6Fr-17.3cm, шт</v>
      </c>
      <c r="J68" s="171">
        <f>F68-K68</f>
        <v>7.01492</v>
      </c>
      <c r="K68" s="54">
        <v>3.8850799999999999</v>
      </c>
      <c r="N68" s="59"/>
      <c r="O68" s="59"/>
      <c r="P68" s="59"/>
      <c r="Q68" s="59"/>
      <c r="R68" s="59"/>
    </row>
    <row r="69" spans="1:19" ht="54.6" customHeight="1" thickBot="1" x14ac:dyDescent="0.35">
      <c r="A69" s="338"/>
      <c r="B69" s="117"/>
      <c r="C69" s="201">
        <f t="shared" si="28"/>
        <v>10.856</v>
      </c>
      <c r="D69" s="168" t="s">
        <v>37</v>
      </c>
      <c r="E69" s="192">
        <v>10</v>
      </c>
      <c r="F69" s="180">
        <v>10.856</v>
      </c>
      <c r="G69" s="105"/>
      <c r="H69" s="105"/>
      <c r="I69" s="9" t="s">
        <v>37</v>
      </c>
      <c r="J69" s="171">
        <f>F69-K69</f>
        <v>0</v>
      </c>
      <c r="K69" s="54">
        <f>F69</f>
        <v>10.856</v>
      </c>
      <c r="N69" s="59"/>
      <c r="O69" s="59"/>
      <c r="P69" s="59"/>
      <c r="Q69" s="59"/>
      <c r="R69" s="59"/>
    </row>
    <row r="70" spans="1:19" ht="65.400000000000006" customHeight="1" thickBot="1" x14ac:dyDescent="0.3">
      <c r="A70" s="378"/>
      <c r="B70" s="118">
        <v>0</v>
      </c>
      <c r="C70" s="205">
        <f>F68:F70</f>
        <v>11.55</v>
      </c>
      <c r="D70" s="168" t="s">
        <v>176</v>
      </c>
      <c r="E70" s="191">
        <v>2</v>
      </c>
      <c r="F70" s="205">
        <v>11.55</v>
      </c>
      <c r="G70" s="113">
        <v>0</v>
      </c>
      <c r="H70" s="113">
        <v>0</v>
      </c>
      <c r="I70" s="9" t="str">
        <f t="shared" si="27"/>
        <v>K-НПІП-1035 Холдінгові мікропіпетки для проведення ІКСІ вн. Діаметр 17um зовнішний діаметр 80um та кутом 35 градусів 10 одиниць в упаковці</v>
      </c>
      <c r="J70" s="174">
        <f>F70-K70</f>
        <v>5.2396100000000008</v>
      </c>
      <c r="K70" s="53">
        <v>6.3103899999999999</v>
      </c>
    </row>
    <row r="71" spans="1:19" s="6" customFormat="1" ht="22.8" customHeight="1" x14ac:dyDescent="0.3">
      <c r="A71" s="338"/>
      <c r="B71" s="410" t="s">
        <v>41</v>
      </c>
      <c r="C71" s="411"/>
      <c r="D71" s="411"/>
      <c r="E71" s="193"/>
      <c r="F71" s="206">
        <f>F72+F73+F74+F75+F76+F77+F78+F79+F80+F81+F82</f>
        <v>89.02600000000001</v>
      </c>
      <c r="G71" s="411" t="s">
        <v>41</v>
      </c>
      <c r="H71" s="411"/>
      <c r="I71" s="411"/>
      <c r="J71" s="169">
        <f>J72+J73+J74+J75+J76+J77+J78+J79+J80+J81+J82</f>
        <v>89.02600000000001</v>
      </c>
      <c r="K71" s="86">
        <v>0</v>
      </c>
      <c r="L71" s="59"/>
      <c r="M71" s="60"/>
      <c r="N71" s="18"/>
      <c r="O71" s="18"/>
      <c r="P71" s="18"/>
      <c r="Q71" s="18"/>
      <c r="R71" s="18"/>
      <c r="S71" s="59"/>
    </row>
    <row r="72" spans="1:19" ht="21" customHeight="1" x14ac:dyDescent="0.25">
      <c r="A72" s="338"/>
      <c r="B72" s="116">
        <v>0</v>
      </c>
      <c r="C72" s="201">
        <f t="shared" ref="C72:C85" si="33">F71:F72</f>
        <v>6.8360000000000003</v>
      </c>
      <c r="D72" s="9" t="s">
        <v>42</v>
      </c>
      <c r="E72" s="104">
        <v>1</v>
      </c>
      <c r="F72" s="201">
        <v>6.8360000000000003</v>
      </c>
      <c r="G72" s="104">
        <v>0</v>
      </c>
      <c r="H72" s="104">
        <v>0</v>
      </c>
      <c r="I72" s="9" t="str">
        <f t="shared" ref="I72:I85" si="34">D72</f>
        <v>Поточний ремонт автомобіля Opel COMBO 1,4</v>
      </c>
      <c r="J72" s="171">
        <f t="shared" ref="J72:J85" si="35">F72</f>
        <v>6.8360000000000003</v>
      </c>
      <c r="K72" s="54">
        <v>0</v>
      </c>
    </row>
    <row r="73" spans="1:19" ht="19.2" customHeight="1" x14ac:dyDescent="0.3">
      <c r="A73" s="338"/>
      <c r="B73" s="116">
        <v>0</v>
      </c>
      <c r="C73" s="201">
        <f t="shared" si="33"/>
        <v>0.5</v>
      </c>
      <c r="D73" s="9" t="s">
        <v>184</v>
      </c>
      <c r="E73" s="104">
        <v>1</v>
      </c>
      <c r="F73" s="201">
        <v>0.5</v>
      </c>
      <c r="G73" s="104">
        <v>0</v>
      </c>
      <c r="H73" s="104">
        <v>0</v>
      </c>
      <c r="I73" s="9" t="str">
        <f t="shared" si="34"/>
        <v>Послуга з шиномонтажу</v>
      </c>
      <c r="J73" s="171">
        <f t="shared" si="35"/>
        <v>0.5</v>
      </c>
      <c r="K73" s="54">
        <v>0</v>
      </c>
      <c r="N73" s="59"/>
      <c r="O73" s="59"/>
      <c r="P73" s="59"/>
      <c r="Q73" s="59"/>
      <c r="R73" s="59"/>
    </row>
    <row r="74" spans="1:19" ht="28.2" customHeight="1" x14ac:dyDescent="0.3">
      <c r="A74" s="338"/>
      <c r="B74" s="116">
        <v>0</v>
      </c>
      <c r="C74" s="201">
        <f t="shared" si="33"/>
        <v>2.016</v>
      </c>
      <c r="D74" s="9" t="s">
        <v>224</v>
      </c>
      <c r="E74" s="104">
        <v>1</v>
      </c>
      <c r="F74" s="201">
        <v>2.016</v>
      </c>
      <c r="G74" s="104">
        <v>0</v>
      </c>
      <c r="H74" s="104">
        <v>0</v>
      </c>
      <c r="I74" s="9" t="str">
        <f t="shared" si="34"/>
        <v>Послуга програмного забеспечення HELSI., 1 послуга за 07.23</v>
      </c>
      <c r="J74" s="171">
        <f t="shared" si="35"/>
        <v>2.016</v>
      </c>
      <c r="K74" s="54">
        <v>0</v>
      </c>
      <c r="N74" s="59"/>
      <c r="O74" s="59"/>
      <c r="P74" s="59"/>
      <c r="Q74" s="59"/>
      <c r="R74" s="59"/>
    </row>
    <row r="75" spans="1:19" ht="39.75" customHeight="1" x14ac:dyDescent="0.3">
      <c r="A75" s="338"/>
      <c r="B75" s="116">
        <v>0</v>
      </c>
      <c r="C75" s="201">
        <f t="shared" si="33"/>
        <v>1.512</v>
      </c>
      <c r="D75" s="9" t="s">
        <v>44</v>
      </c>
      <c r="E75" s="104">
        <v>1</v>
      </c>
      <c r="F75" s="201">
        <v>1.512</v>
      </c>
      <c r="G75" s="104">
        <v>0</v>
      </c>
      <c r="H75" s="104">
        <v>0</v>
      </c>
      <c r="I75" s="9" t="str">
        <f t="shared" si="34"/>
        <v>Послуга програмного забеспечення HELSI., 1 послуга за 01.23</v>
      </c>
      <c r="J75" s="171">
        <f t="shared" si="35"/>
        <v>1.512</v>
      </c>
      <c r="K75" s="54">
        <v>0</v>
      </c>
      <c r="N75" s="59"/>
      <c r="O75" s="59"/>
      <c r="P75" s="59"/>
      <c r="Q75" s="59"/>
      <c r="R75" s="59"/>
    </row>
    <row r="76" spans="1:19" ht="39.75" customHeight="1" x14ac:dyDescent="0.3">
      <c r="A76" s="338"/>
      <c r="B76" s="116">
        <v>0</v>
      </c>
      <c r="C76" s="201">
        <f t="shared" si="33"/>
        <v>29.675000000000001</v>
      </c>
      <c r="D76" s="9" t="s">
        <v>223</v>
      </c>
      <c r="E76" s="104">
        <v>1</v>
      </c>
      <c r="F76" s="201">
        <v>29.675000000000001</v>
      </c>
      <c r="G76" s="104">
        <v>0</v>
      </c>
      <c r="H76" s="104">
        <v>0</v>
      </c>
      <c r="I76" s="9" t="str">
        <f t="shared" si="34"/>
        <v>Послуга вогнегасне оброблення дерев'яних конструкцій горищних приміщень 1 послуга</v>
      </c>
      <c r="J76" s="171">
        <f t="shared" si="35"/>
        <v>29.675000000000001</v>
      </c>
      <c r="K76" s="54">
        <v>0</v>
      </c>
      <c r="N76" s="59"/>
      <c r="O76" s="59"/>
      <c r="P76" s="59"/>
      <c r="Q76" s="59"/>
      <c r="R76" s="59"/>
    </row>
    <row r="77" spans="1:19" ht="39.75" customHeight="1" x14ac:dyDescent="0.25">
      <c r="A77" s="338"/>
      <c r="B77" s="116">
        <v>0</v>
      </c>
      <c r="C77" s="201">
        <f>F77:F77</f>
        <v>5.49</v>
      </c>
      <c r="D77" s="9" t="s">
        <v>185</v>
      </c>
      <c r="E77" s="104">
        <v>1</v>
      </c>
      <c r="F77" s="201">
        <v>5.49</v>
      </c>
      <c r="G77" s="104">
        <v>0</v>
      </c>
      <c r="H77" s="104">
        <v>0</v>
      </c>
      <c r="I77" s="9" t="str">
        <f t="shared" si="34"/>
        <v>Доступ в режимі он-лайн до електроних баз наукової ынформації, інфор. ресурс Довідник головної медичної сестри</v>
      </c>
      <c r="J77" s="171">
        <f t="shared" si="35"/>
        <v>5.49</v>
      </c>
      <c r="K77" s="54">
        <v>0</v>
      </c>
    </row>
    <row r="78" spans="1:19" ht="15.6" customHeight="1" x14ac:dyDescent="0.25">
      <c r="A78" s="338"/>
      <c r="B78" s="116">
        <v>0</v>
      </c>
      <c r="C78" s="201">
        <f t="shared" si="33"/>
        <v>31.251000000000001</v>
      </c>
      <c r="D78" s="9" t="s">
        <v>225</v>
      </c>
      <c r="E78" s="104">
        <v>1</v>
      </c>
      <c r="F78" s="201">
        <v>31.251000000000001</v>
      </c>
      <c r="G78" s="104">
        <v>0</v>
      </c>
      <c r="H78" s="104">
        <v>0</v>
      </c>
      <c r="I78" s="9" t="str">
        <f t="shared" si="34"/>
        <v xml:space="preserve">Послуги архівні </v>
      </c>
      <c r="J78" s="171">
        <f t="shared" si="35"/>
        <v>31.251000000000001</v>
      </c>
      <c r="K78" s="54">
        <v>0</v>
      </c>
    </row>
    <row r="79" spans="1:19" ht="30.6" customHeight="1" x14ac:dyDescent="0.25">
      <c r="A79" s="338"/>
      <c r="B79" s="116">
        <v>0</v>
      </c>
      <c r="C79" s="201">
        <f t="shared" si="33"/>
        <v>4</v>
      </c>
      <c r="D79" s="9" t="s">
        <v>222</v>
      </c>
      <c r="E79" s="104">
        <v>1</v>
      </c>
      <c r="F79" s="201">
        <v>4</v>
      </c>
      <c r="G79" s="104">
        <v>0</v>
      </c>
      <c r="H79" s="104">
        <v>0</v>
      </c>
      <c r="I79" s="9" t="str">
        <f t="shared" si="34"/>
        <v>Послуги з обслуговування мережі інтернет за 08.2023 1 послуга</v>
      </c>
      <c r="J79" s="171">
        <f t="shared" si="35"/>
        <v>4</v>
      </c>
      <c r="K79" s="54">
        <v>0</v>
      </c>
    </row>
    <row r="80" spans="1:19" ht="25.8" customHeight="1" x14ac:dyDescent="0.25">
      <c r="A80" s="338"/>
      <c r="B80" s="116">
        <v>0</v>
      </c>
      <c r="C80" s="201">
        <f t="shared" si="33"/>
        <v>4</v>
      </c>
      <c r="D80" s="9" t="s">
        <v>234</v>
      </c>
      <c r="E80" s="104">
        <v>1</v>
      </c>
      <c r="F80" s="201">
        <v>4</v>
      </c>
      <c r="G80" s="104">
        <v>0</v>
      </c>
      <c r="H80" s="104">
        <v>0</v>
      </c>
      <c r="I80" s="9" t="str">
        <f t="shared" si="34"/>
        <v>Послуги з обслуговування мережі інтернет за 07.2023 1 послуга</v>
      </c>
      <c r="J80" s="171">
        <f t="shared" si="35"/>
        <v>4</v>
      </c>
      <c r="K80" s="54">
        <v>0</v>
      </c>
    </row>
    <row r="81" spans="1:19" ht="29.4" customHeight="1" x14ac:dyDescent="0.25">
      <c r="A81" s="338"/>
      <c r="B81" s="117">
        <v>0</v>
      </c>
      <c r="C81" s="180">
        <f t="shared" si="33"/>
        <v>1.73</v>
      </c>
      <c r="D81" s="194" t="s">
        <v>52</v>
      </c>
      <c r="E81" s="192">
        <v>1</v>
      </c>
      <c r="F81" s="207">
        <v>1.73</v>
      </c>
      <c r="G81" s="104">
        <v>0</v>
      </c>
      <c r="H81" s="104">
        <v>0</v>
      </c>
      <c r="I81" s="9" t="str">
        <f t="shared" si="34"/>
        <v>Поточний ремонт автомобіля  OPEL Combo</v>
      </c>
      <c r="J81" s="171">
        <f t="shared" si="35"/>
        <v>1.73</v>
      </c>
      <c r="K81" s="54">
        <v>0</v>
      </c>
    </row>
    <row r="82" spans="1:19" ht="39.75" customHeight="1" thickBot="1" x14ac:dyDescent="0.3">
      <c r="A82" s="338"/>
      <c r="B82" s="117">
        <v>0</v>
      </c>
      <c r="C82" s="180">
        <f t="shared" ref="C82" si="36">F80:F82</f>
        <v>2.016</v>
      </c>
      <c r="D82" s="9" t="s">
        <v>235</v>
      </c>
      <c r="E82" s="192">
        <v>1</v>
      </c>
      <c r="F82" s="180">
        <v>2.016</v>
      </c>
      <c r="G82" s="105">
        <v>0</v>
      </c>
      <c r="H82" s="105">
        <v>0</v>
      </c>
      <c r="I82" s="13" t="str">
        <f t="shared" si="34"/>
        <v>Послуга програмного забеспечення HELSI., 1 послуга за 06.23</v>
      </c>
      <c r="J82" s="175">
        <f t="shared" si="35"/>
        <v>2.016</v>
      </c>
      <c r="K82" s="87">
        <v>0</v>
      </c>
    </row>
    <row r="83" spans="1:19" s="6" customFormat="1" ht="24" customHeight="1" x14ac:dyDescent="0.3">
      <c r="A83" s="338"/>
      <c r="B83" s="330" t="s">
        <v>54</v>
      </c>
      <c r="C83" s="331"/>
      <c r="D83" s="331"/>
      <c r="E83" s="332"/>
      <c r="F83" s="198">
        <f>F84+F85</f>
        <v>4.2200000000000006</v>
      </c>
      <c r="G83" s="412" t="s">
        <v>54</v>
      </c>
      <c r="H83" s="413"/>
      <c r="I83" s="414"/>
      <c r="J83" s="172">
        <f>J84+J85</f>
        <v>4.2200000000000006</v>
      </c>
      <c r="K83" s="57">
        <v>0</v>
      </c>
      <c r="L83" s="59"/>
      <c r="M83" s="59"/>
      <c r="N83" s="18"/>
      <c r="O83" s="18"/>
      <c r="P83" s="18"/>
      <c r="Q83" s="18"/>
      <c r="R83" s="18"/>
      <c r="S83" s="59"/>
    </row>
    <row r="84" spans="1:19" ht="21.6" customHeight="1" x14ac:dyDescent="0.25">
      <c r="A84" s="338"/>
      <c r="B84" s="116">
        <v>0</v>
      </c>
      <c r="C84" s="201">
        <f>F80:F84</f>
        <v>1</v>
      </c>
      <c r="D84" s="9" t="s">
        <v>55</v>
      </c>
      <c r="E84" s="104">
        <v>1</v>
      </c>
      <c r="F84" s="201">
        <v>1</v>
      </c>
      <c r="G84" s="104">
        <v>0</v>
      </c>
      <c r="H84" s="104">
        <v>0</v>
      </c>
      <c r="I84" s="9" t="str">
        <f t="shared" si="34"/>
        <v>Послуга з навчання з охорони праці</v>
      </c>
      <c r="J84" s="171">
        <f t="shared" si="35"/>
        <v>1</v>
      </c>
      <c r="K84" s="54">
        <v>0</v>
      </c>
    </row>
    <row r="85" spans="1:19" ht="29.25" customHeight="1" thickBot="1" x14ac:dyDescent="0.3">
      <c r="A85" s="338"/>
      <c r="B85" s="117">
        <v>0</v>
      </c>
      <c r="C85" s="180">
        <f t="shared" si="33"/>
        <v>3.22</v>
      </c>
      <c r="D85" s="13" t="s">
        <v>180</v>
      </c>
      <c r="E85" s="105">
        <v>1</v>
      </c>
      <c r="F85" s="180">
        <v>3.22</v>
      </c>
      <c r="G85" s="105">
        <v>0</v>
      </c>
      <c r="H85" s="105">
        <v>0</v>
      </c>
      <c r="I85" s="13" t="str">
        <f t="shared" si="34"/>
        <v>Послуга з навчання у сфері здійснення публічних закупівель</v>
      </c>
      <c r="J85" s="175">
        <f t="shared" si="35"/>
        <v>3.22</v>
      </c>
      <c r="K85" s="87">
        <v>0</v>
      </c>
    </row>
    <row r="86" spans="1:19" s="26" customFormat="1" ht="33" customHeight="1" x14ac:dyDescent="0.25">
      <c r="A86" s="338"/>
      <c r="B86" s="402" t="s">
        <v>56</v>
      </c>
      <c r="C86" s="403"/>
      <c r="D86" s="403"/>
      <c r="E86" s="403"/>
      <c r="F86" s="203">
        <f>F87</f>
        <v>46.56</v>
      </c>
      <c r="G86" s="403" t="s">
        <v>56</v>
      </c>
      <c r="H86" s="403"/>
      <c r="I86" s="403"/>
      <c r="J86" s="172">
        <f>J87</f>
        <v>46.56</v>
      </c>
      <c r="K86" s="57">
        <v>0</v>
      </c>
      <c r="L86" s="61"/>
      <c r="M86" s="61"/>
      <c r="N86" s="18"/>
      <c r="O86" s="18"/>
      <c r="P86" s="18"/>
      <c r="Q86" s="18"/>
      <c r="R86" s="18"/>
      <c r="S86" s="61"/>
    </row>
    <row r="87" spans="1:19" ht="48" customHeight="1" thickBot="1" x14ac:dyDescent="0.3">
      <c r="A87" s="338"/>
      <c r="B87" s="116">
        <v>0</v>
      </c>
      <c r="C87" s="222">
        <f t="shared" ref="C87" si="37">F86:F87</f>
        <v>46.56</v>
      </c>
      <c r="D87" s="30" t="s">
        <v>226</v>
      </c>
      <c r="E87" s="195">
        <v>1</v>
      </c>
      <c r="F87" s="208">
        <v>46.56</v>
      </c>
      <c r="G87" s="104">
        <v>0</v>
      </c>
      <c r="H87" s="104">
        <v>0</v>
      </c>
      <c r="I87" s="9" t="str">
        <f t="shared" ref="I87" si="38">D87</f>
        <v>Монітор медичний для візуалізаціїзображення HD з ендоскопічної камери" NDS Radiance 19"</v>
      </c>
      <c r="J87" s="171">
        <f t="shared" ref="J87:J91" si="39">F87</f>
        <v>46.56</v>
      </c>
      <c r="K87" s="54">
        <v>0</v>
      </c>
    </row>
    <row r="88" spans="1:19" s="6" customFormat="1" ht="26.25" customHeight="1" x14ac:dyDescent="0.3">
      <c r="A88" s="376" t="s">
        <v>60</v>
      </c>
      <c r="B88" s="402" t="s">
        <v>61</v>
      </c>
      <c r="C88" s="403"/>
      <c r="D88" s="403"/>
      <c r="E88" s="403"/>
      <c r="F88" s="209">
        <f>F89+F90+F91</f>
        <v>32.509</v>
      </c>
      <c r="G88" s="403" t="s">
        <v>61</v>
      </c>
      <c r="H88" s="403"/>
      <c r="I88" s="403"/>
      <c r="J88" s="161">
        <f>J89+J90+J91</f>
        <v>32.509</v>
      </c>
      <c r="K88" s="57">
        <v>0</v>
      </c>
      <c r="L88" s="59"/>
      <c r="M88" s="62"/>
      <c r="N88" s="18"/>
      <c r="O88" s="18"/>
      <c r="P88" s="18"/>
      <c r="Q88" s="18"/>
      <c r="R88" s="18"/>
      <c r="S88" s="59"/>
    </row>
    <row r="89" spans="1:19" s="6" customFormat="1" ht="45" customHeight="1" x14ac:dyDescent="0.3">
      <c r="A89" s="377"/>
      <c r="B89" s="196">
        <f>-E943</f>
        <v>0</v>
      </c>
      <c r="C89" s="223">
        <v>32.494</v>
      </c>
      <c r="D89" s="164" t="s">
        <v>190</v>
      </c>
      <c r="E89" s="176">
        <v>2</v>
      </c>
      <c r="F89" s="210">
        <v>32.494</v>
      </c>
      <c r="G89" s="104">
        <v>0</v>
      </c>
      <c r="H89" s="162" t="s">
        <v>193</v>
      </c>
      <c r="I89" s="164" t="s">
        <v>190</v>
      </c>
      <c r="J89" s="171">
        <f t="shared" si="39"/>
        <v>32.494</v>
      </c>
      <c r="K89" s="54">
        <v>0</v>
      </c>
      <c r="L89" s="59"/>
      <c r="M89" s="59"/>
      <c r="N89" s="18"/>
      <c r="O89" s="18"/>
      <c r="P89" s="18"/>
      <c r="Q89" s="18"/>
      <c r="R89" s="18"/>
      <c r="S89" s="59"/>
    </row>
    <row r="90" spans="1:19" s="6" customFormat="1" ht="28.2" customHeight="1" x14ac:dyDescent="0.3">
      <c r="A90" s="377"/>
      <c r="B90" s="116">
        <v>0</v>
      </c>
      <c r="C90" s="224">
        <v>5.0000000000000001E-3</v>
      </c>
      <c r="D90" s="197" t="s">
        <v>191</v>
      </c>
      <c r="E90" s="104">
        <v>5</v>
      </c>
      <c r="F90" s="201">
        <v>5.0000000000000001E-3</v>
      </c>
      <c r="G90" s="104">
        <v>0</v>
      </c>
      <c r="H90" s="104">
        <v>0</v>
      </c>
      <c r="I90" s="9" t="str">
        <f t="shared" ref="I90:I91" si="40">D90</f>
        <v>Прістрій для обігріву новонароджених/ Baby Heater, n/a</v>
      </c>
      <c r="J90" s="182">
        <f t="shared" si="39"/>
        <v>5.0000000000000001E-3</v>
      </c>
      <c r="K90" s="54">
        <v>0</v>
      </c>
      <c r="L90" s="59"/>
      <c r="M90" s="59"/>
      <c r="N90" s="18"/>
      <c r="O90" s="18"/>
      <c r="P90" s="18"/>
      <c r="Q90" s="18"/>
      <c r="R90" s="18"/>
      <c r="S90" s="59"/>
    </row>
    <row r="91" spans="1:19" s="6" customFormat="1" ht="28.8" customHeight="1" x14ac:dyDescent="0.3">
      <c r="A91" s="377"/>
      <c r="B91" s="116">
        <v>0</v>
      </c>
      <c r="C91" s="224">
        <v>0.01</v>
      </c>
      <c r="D91" s="164" t="s">
        <v>192</v>
      </c>
      <c r="E91" s="104">
        <v>10</v>
      </c>
      <c r="F91" s="201">
        <v>0.01</v>
      </c>
      <c r="G91" s="104">
        <v>0</v>
      </c>
      <c r="H91" s="104">
        <v>0</v>
      </c>
      <c r="I91" s="9" t="str">
        <f t="shared" si="40"/>
        <v>Ліжка лікарняні/Hospital beds and mattresses for newdoms, n/a</v>
      </c>
      <c r="J91" s="171">
        <f t="shared" si="39"/>
        <v>0.01</v>
      </c>
      <c r="K91" s="56">
        <f t="shared" ref="K91" si="41">F91-J91</f>
        <v>0</v>
      </c>
      <c r="L91" s="59"/>
      <c r="M91" s="59"/>
      <c r="N91" s="18"/>
      <c r="O91" s="18"/>
      <c r="P91" s="18"/>
      <c r="Q91" s="18"/>
      <c r="R91" s="18"/>
      <c r="S91" s="59"/>
    </row>
    <row r="92" spans="1:19" ht="25.5" customHeight="1" x14ac:dyDescent="0.25">
      <c r="A92" s="377"/>
      <c r="B92" s="410" t="s">
        <v>15</v>
      </c>
      <c r="C92" s="411"/>
      <c r="D92" s="411"/>
      <c r="E92" s="411"/>
      <c r="F92" s="211">
        <f>F93</f>
        <v>1076.4605999999999</v>
      </c>
      <c r="G92" s="411" t="s">
        <v>15</v>
      </c>
      <c r="H92" s="411"/>
      <c r="I92" s="411"/>
      <c r="J92" s="95">
        <f>J93</f>
        <v>138.66485</v>
      </c>
      <c r="K92" s="90">
        <f>K93</f>
        <v>937.79575</v>
      </c>
    </row>
    <row r="93" spans="1:19" s="18" customFormat="1" ht="19.8" customHeight="1" x14ac:dyDescent="0.25">
      <c r="A93" s="377"/>
      <c r="B93" s="415" t="s">
        <v>16</v>
      </c>
      <c r="C93" s="416"/>
      <c r="D93" s="416"/>
      <c r="E93" s="416"/>
      <c r="F93" s="204">
        <f>F94+F95+F96+F97+F98+F99+F100+F101+F102+F103+F104+F105+F106+F107+F108+F109+F110+F111</f>
        <v>1076.4605999999999</v>
      </c>
      <c r="G93" s="416" t="s">
        <v>16</v>
      </c>
      <c r="H93" s="416"/>
      <c r="I93" s="416"/>
      <c r="J93" s="165">
        <f>J94+J95+J96+J97+J98+J99+J100+J101+J102+J103+J104+J105+J106+J107+J108+J109+J110+J111</f>
        <v>138.66485</v>
      </c>
      <c r="K93" s="54">
        <f>SUM(K94:K111)</f>
        <v>937.79575</v>
      </c>
    </row>
    <row r="94" spans="1:19" s="18" customFormat="1" ht="34.5" customHeight="1" x14ac:dyDescent="0.25">
      <c r="A94" s="377"/>
      <c r="B94" s="116">
        <v>0</v>
      </c>
      <c r="C94" s="201">
        <f>F92:F94</f>
        <v>2.3130000000000002</v>
      </c>
      <c r="D94" s="30" t="s">
        <v>194</v>
      </c>
      <c r="E94" s="49">
        <v>80</v>
      </c>
      <c r="F94" s="201">
        <v>2.3130000000000002</v>
      </c>
      <c r="G94" s="104">
        <v>0</v>
      </c>
      <c r="H94" s="104">
        <v>0</v>
      </c>
      <c r="I94" s="9" t="str">
        <f t="shared" ref="I94:I111" si="42">D94</f>
        <v>Комбінації електролітів / Deitajonin 500ml №10 Exp.date 03.2026  500ml</v>
      </c>
      <c r="J94" s="65">
        <f t="shared" ref="J94:J111" si="43">F94-K94</f>
        <v>0</v>
      </c>
      <c r="K94" s="54">
        <f>F94</f>
        <v>2.3130000000000002</v>
      </c>
    </row>
    <row r="95" spans="1:19" s="18" customFormat="1" ht="64.8" customHeight="1" x14ac:dyDescent="0.25">
      <c r="A95" s="377"/>
      <c r="B95" s="116">
        <v>0</v>
      </c>
      <c r="C95" s="201">
        <f t="shared" ref="C95:C111" si="44">F94:F95</f>
        <v>3.4020000000000001</v>
      </c>
      <c r="D95" s="30" t="s">
        <v>195</v>
      </c>
      <c r="E95" s="49">
        <v>500</v>
      </c>
      <c r="F95" s="201">
        <v>3.4020000000000001</v>
      </c>
      <c r="G95" s="104">
        <v>0</v>
      </c>
      <c r="H95" s="104">
        <v>0</v>
      </c>
      <c r="I95" s="9" t="str">
        <f t="shared" si="42"/>
        <v xml:space="preserve">Рукавички оглядові нестерильні, різних розмірів/Gloves, dishjisable, non-sterile, powder-free, розмір М №100 в упаковці Exp.date 31.12.2025 n/a </v>
      </c>
      <c r="J95" s="65">
        <f t="shared" si="43"/>
        <v>0</v>
      </c>
      <c r="K95" s="54">
        <f>F95</f>
        <v>3.4020000000000001</v>
      </c>
    </row>
    <row r="96" spans="1:19" s="18" customFormat="1" ht="63" customHeight="1" x14ac:dyDescent="0.25">
      <c r="A96" s="377"/>
      <c r="B96" s="116">
        <v>0</v>
      </c>
      <c r="C96" s="201">
        <f t="shared" si="44"/>
        <v>5.4429999999999996</v>
      </c>
      <c r="D96" s="30" t="s">
        <v>196</v>
      </c>
      <c r="E96" s="49">
        <v>800</v>
      </c>
      <c r="F96" s="212">
        <v>5.4429999999999996</v>
      </c>
      <c r="G96" s="104">
        <v>0</v>
      </c>
      <c r="H96" s="104">
        <v>0</v>
      </c>
      <c r="I96" s="9" t="str">
        <f t="shared" si="42"/>
        <v xml:space="preserve">Рукавички оглядові нестерильні, різних розмірів/Gloves, dishjisable, non-sterile, powder-free, розмір L №200 в упаковці Exp.date 31.03.2024 n/a </v>
      </c>
      <c r="J96" s="65">
        <f t="shared" si="43"/>
        <v>0</v>
      </c>
      <c r="K96" s="54">
        <f>F96</f>
        <v>5.4429999999999996</v>
      </c>
    </row>
    <row r="97" spans="1:11" s="18" customFormat="1" ht="50.4" customHeight="1" x14ac:dyDescent="0.25">
      <c r="A97" s="377"/>
      <c r="B97" s="116">
        <v>0</v>
      </c>
      <c r="C97" s="201">
        <f t="shared" si="44"/>
        <v>3.6059999999999999</v>
      </c>
      <c r="D97" s="30" t="s">
        <v>197</v>
      </c>
      <c r="E97" s="49">
        <v>1000</v>
      </c>
      <c r="F97" s="212">
        <v>3.6059999999999999</v>
      </c>
      <c r="G97" s="104">
        <v>0</v>
      </c>
      <c r="H97" s="104">
        <v>0</v>
      </c>
      <c r="I97" s="9" t="str">
        <f t="shared" si="42"/>
        <v xml:space="preserve">Натрій хлорід Sobium Ghloride IBE 9mg/ml solvent for parenteral use 5ml №10 в упаковці .Exp.date 31.03.2025 9mg/ml </v>
      </c>
      <c r="J97" s="65">
        <f>F97-K97</f>
        <v>0.16578999999999988</v>
      </c>
      <c r="K97" s="66">
        <v>3.44021</v>
      </c>
    </row>
    <row r="98" spans="1:11" s="18" customFormat="1" ht="48.6" customHeight="1" x14ac:dyDescent="0.25">
      <c r="A98" s="377"/>
      <c r="B98" s="116">
        <v>0</v>
      </c>
      <c r="C98" s="201">
        <f t="shared" si="44"/>
        <v>1.927</v>
      </c>
      <c r="D98" s="30" t="s">
        <v>198</v>
      </c>
      <c r="E98" s="49">
        <v>100</v>
      </c>
      <c r="F98" s="212">
        <v>1.927</v>
      </c>
      <c r="G98" s="104">
        <v>0</v>
      </c>
      <c r="H98" s="104">
        <v>0</v>
      </c>
      <c r="I98" s="9" t="str">
        <f t="shared" si="42"/>
        <v xml:space="preserve">Глюкоза/Glucose B/Braun (monohydrate) 50mg/ml (5%) infusion solution 500ml №10 в упаковці.Exp.date 30.09.2024 5% </v>
      </c>
      <c r="J98" s="65">
        <f t="shared" si="43"/>
        <v>0.30811000000000011</v>
      </c>
      <c r="K98" s="66">
        <v>1.6188899999999999</v>
      </c>
    </row>
    <row r="99" spans="1:11" s="18" customFormat="1" ht="31.8" customHeight="1" x14ac:dyDescent="0.25">
      <c r="A99" s="377"/>
      <c r="B99" s="116">
        <v>0</v>
      </c>
      <c r="C99" s="201">
        <f t="shared" si="44"/>
        <v>0.14000000000000001</v>
      </c>
      <c r="D99" s="30" t="s">
        <v>236</v>
      </c>
      <c r="E99" s="49">
        <v>140</v>
      </c>
      <c r="F99" s="212">
        <v>0.14000000000000001</v>
      </c>
      <c r="G99" s="104">
        <v>0</v>
      </c>
      <c r="H99" s="104">
        <v>0</v>
      </c>
      <c r="I99" s="9" t="str">
        <f t="shared" si="42"/>
        <v>Воріконазол/Voriconazolo Mylan 200mg №28 в упаковці Exp.date 01.2024 200mg</v>
      </c>
      <c r="J99" s="65">
        <f t="shared" si="43"/>
        <v>9.000000000000008E-3</v>
      </c>
      <c r="K99" s="66">
        <v>0.13100000000000001</v>
      </c>
    </row>
    <row r="100" spans="1:11" s="18" customFormat="1" ht="60.6" customHeight="1" x14ac:dyDescent="0.25">
      <c r="A100" s="377"/>
      <c r="B100" s="116">
        <v>0</v>
      </c>
      <c r="C100" s="222">
        <f t="shared" ref="C100" si="45">F99:F100</f>
        <v>40</v>
      </c>
      <c r="D100" s="30" t="s">
        <v>239</v>
      </c>
      <c r="E100" s="49">
        <v>40000</v>
      </c>
      <c r="F100" s="212">
        <v>40</v>
      </c>
      <c r="G100" s="104">
        <v>0</v>
      </c>
      <c r="H100" s="104">
        <v>0</v>
      </c>
      <c r="I100" s="9" t="str">
        <f>D100</f>
        <v xml:space="preserve">Витратні матеріали/ Тампони для очищення шкіри Skin Cleansing Cwad 30x30mm №4000в коробці. Exp.date 08.2025 n/a </v>
      </c>
      <c r="J100" s="65">
        <f t="shared" ref="J100" si="46">F100-K100</f>
        <v>0</v>
      </c>
      <c r="K100" s="66">
        <f>F100</f>
        <v>40</v>
      </c>
    </row>
    <row r="101" spans="1:11" s="18" customFormat="1" ht="33" customHeight="1" x14ac:dyDescent="0.25">
      <c r="A101" s="377"/>
      <c r="B101" s="116">
        <v>0</v>
      </c>
      <c r="C101" s="201">
        <f>F99:F101</f>
        <v>0.5</v>
      </c>
      <c r="D101" s="30" t="s">
        <v>199</v>
      </c>
      <c r="E101" s="49">
        <v>500</v>
      </c>
      <c r="F101" s="212">
        <v>0.5</v>
      </c>
      <c r="G101" s="104">
        <v>0</v>
      </c>
      <c r="H101" s="104">
        <v>0</v>
      </c>
      <c r="I101" s="9" t="str">
        <f t="shared" si="42"/>
        <v>Медичні маски/Procedure Mask №500 в коробці. Exp.date 07.2025 5%  n/a</v>
      </c>
      <c r="J101" s="65">
        <f t="shared" si="43"/>
        <v>0</v>
      </c>
      <c r="K101" s="66">
        <f>F101</f>
        <v>0.5</v>
      </c>
    </row>
    <row r="102" spans="1:11" s="18" customFormat="1" ht="33" customHeight="1" x14ac:dyDescent="0.25">
      <c r="A102" s="377"/>
      <c r="B102" s="116">
        <v>0</v>
      </c>
      <c r="C102" s="201">
        <f t="shared" si="44"/>
        <v>4.4846000000000004</v>
      </c>
      <c r="D102" s="30" t="s">
        <v>205</v>
      </c>
      <c r="E102" s="49">
        <v>10</v>
      </c>
      <c r="F102" s="212">
        <v>4.4846000000000004</v>
      </c>
      <c r="G102" s="104">
        <v>0</v>
      </c>
      <c r="H102" s="104">
        <v>0</v>
      </c>
      <c r="I102" s="9" t="str">
        <f t="shared" si="42"/>
        <v>Термометр медичний інфракрасний лобний, шт</v>
      </c>
      <c r="J102" s="65">
        <f t="shared" si="43"/>
        <v>0</v>
      </c>
      <c r="K102" s="66">
        <f>F102</f>
        <v>4.4846000000000004</v>
      </c>
    </row>
    <row r="103" spans="1:11" s="18" customFormat="1" ht="18.600000000000001" customHeight="1" x14ac:dyDescent="0.25">
      <c r="A103" s="377"/>
      <c r="B103" s="116">
        <v>0</v>
      </c>
      <c r="C103" s="222">
        <f t="shared" si="44"/>
        <v>0.15</v>
      </c>
      <c r="D103" s="30" t="s">
        <v>206</v>
      </c>
      <c r="E103" s="49">
        <v>150</v>
      </c>
      <c r="F103" s="201">
        <v>0.15</v>
      </c>
      <c r="G103" s="104">
        <v>0</v>
      </c>
      <c r="H103" s="104">
        <v>0</v>
      </c>
      <c r="I103" s="9" t="str">
        <f t="shared" si="42"/>
        <v>Антисептик DES 62 флакон</v>
      </c>
      <c r="J103" s="65">
        <f t="shared" si="43"/>
        <v>2.9149999999999995E-2</v>
      </c>
      <c r="K103" s="67">
        <v>0.12085</v>
      </c>
    </row>
    <row r="104" spans="1:11" s="18" customFormat="1" ht="19.2" customHeight="1" x14ac:dyDescent="0.25">
      <c r="A104" s="377"/>
      <c r="B104" s="116">
        <v>0</v>
      </c>
      <c r="C104" s="222">
        <f t="shared" si="44"/>
        <v>29</v>
      </c>
      <c r="D104" s="30" t="s">
        <v>207</v>
      </c>
      <c r="E104" s="49">
        <v>29000</v>
      </c>
      <c r="F104" s="201">
        <v>29</v>
      </c>
      <c r="G104" s="104">
        <v>0</v>
      </c>
      <c r="H104" s="104">
        <v>0</v>
      </c>
      <c r="I104" s="9" t="str">
        <f t="shared" si="42"/>
        <v>Рукавиці оглядові нестерильні, шт</v>
      </c>
      <c r="J104" s="65">
        <f t="shared" si="43"/>
        <v>0</v>
      </c>
      <c r="K104" s="67">
        <f>F104</f>
        <v>29</v>
      </c>
    </row>
    <row r="105" spans="1:11" s="18" customFormat="1" ht="19.8" customHeight="1" x14ac:dyDescent="0.25">
      <c r="A105" s="377"/>
      <c r="B105" s="116">
        <v>0</v>
      </c>
      <c r="C105" s="222">
        <f t="shared" si="44"/>
        <v>20</v>
      </c>
      <c r="D105" s="30" t="s">
        <v>208</v>
      </c>
      <c r="E105" s="49">
        <v>20000</v>
      </c>
      <c r="F105" s="201">
        <v>20</v>
      </c>
      <c r="G105" s="104">
        <v>0</v>
      </c>
      <c r="H105" s="104">
        <v>0</v>
      </c>
      <c r="I105" s="9" t="str">
        <f t="shared" si="42"/>
        <v>Рукавиці оглядові нестерильні, шт.</v>
      </c>
      <c r="J105" s="65">
        <f t="shared" si="43"/>
        <v>0</v>
      </c>
      <c r="K105" s="67">
        <f t="shared" ref="K105:K107" si="47">F105</f>
        <v>20</v>
      </c>
    </row>
    <row r="106" spans="1:11" s="18" customFormat="1" ht="19.8" customHeight="1" x14ac:dyDescent="0.25">
      <c r="A106" s="377"/>
      <c r="B106" s="116">
        <v>0</v>
      </c>
      <c r="C106" s="222">
        <f t="shared" si="44"/>
        <v>20</v>
      </c>
      <c r="D106" s="30" t="s">
        <v>207</v>
      </c>
      <c r="E106" s="49">
        <v>20000</v>
      </c>
      <c r="F106" s="201">
        <v>20</v>
      </c>
      <c r="G106" s="104">
        <v>0</v>
      </c>
      <c r="H106" s="104">
        <v>0</v>
      </c>
      <c r="I106" s="9" t="str">
        <f t="shared" si="42"/>
        <v>Рукавиці оглядові нестерильні, шт</v>
      </c>
      <c r="J106" s="65">
        <f t="shared" si="43"/>
        <v>0</v>
      </c>
      <c r="K106" s="67">
        <f t="shared" si="47"/>
        <v>20</v>
      </c>
    </row>
    <row r="107" spans="1:11" s="18" customFormat="1" ht="19.8" customHeight="1" x14ac:dyDescent="0.25">
      <c r="A107" s="377"/>
      <c r="B107" s="116">
        <v>0</v>
      </c>
      <c r="C107" s="222">
        <f t="shared" si="44"/>
        <v>40</v>
      </c>
      <c r="D107" s="30" t="s">
        <v>208</v>
      </c>
      <c r="E107" s="49">
        <v>40000</v>
      </c>
      <c r="F107" s="201">
        <v>40</v>
      </c>
      <c r="G107" s="104">
        <v>0</v>
      </c>
      <c r="H107" s="104">
        <v>0</v>
      </c>
      <c r="I107" s="9" t="str">
        <f t="shared" si="42"/>
        <v>Рукавиці оглядові нестерильні, шт.</v>
      </c>
      <c r="J107" s="65">
        <f t="shared" si="43"/>
        <v>0</v>
      </c>
      <c r="K107" s="67">
        <f t="shared" si="47"/>
        <v>40</v>
      </c>
    </row>
    <row r="108" spans="1:11" s="18" customFormat="1" ht="19.8" customHeight="1" x14ac:dyDescent="0.25">
      <c r="A108" s="377"/>
      <c r="B108" s="116">
        <v>0</v>
      </c>
      <c r="C108" s="222">
        <f t="shared" si="44"/>
        <v>0.01</v>
      </c>
      <c r="D108" s="30" t="s">
        <v>209</v>
      </c>
      <c r="E108" s="49">
        <v>10</v>
      </c>
      <c r="F108" s="201">
        <v>0.01</v>
      </c>
      <c r="G108" s="104">
        <v>0</v>
      </c>
      <c r="H108" s="104">
        <v>0</v>
      </c>
      <c r="I108" s="9" t="str">
        <f t="shared" si="42"/>
        <v>Оксаліплатин 100мг 20мл флак.</v>
      </c>
      <c r="J108" s="65">
        <f t="shared" si="43"/>
        <v>0</v>
      </c>
      <c r="K108" s="183">
        <f>F108</f>
        <v>0.01</v>
      </c>
    </row>
    <row r="109" spans="1:11" s="18" customFormat="1" ht="19.8" customHeight="1" x14ac:dyDescent="0.25">
      <c r="A109" s="377"/>
      <c r="B109" s="116">
        <v>0</v>
      </c>
      <c r="C109" s="222">
        <f t="shared" si="44"/>
        <v>634.14400000000001</v>
      </c>
      <c r="D109" s="30" t="s">
        <v>210</v>
      </c>
      <c r="E109" s="49">
        <v>280</v>
      </c>
      <c r="F109" s="201">
        <v>634.14400000000001</v>
      </c>
      <c r="G109" s="104">
        <v>0</v>
      </c>
      <c r="H109" s="104">
        <v>0</v>
      </c>
      <c r="I109" s="9" t="str">
        <f t="shared" si="42"/>
        <v>Флукодифлюкан 200мг таб</v>
      </c>
      <c r="J109" s="65">
        <f t="shared" si="43"/>
        <v>138.15280000000001</v>
      </c>
      <c r="K109" s="70">
        <v>495.99119999999999</v>
      </c>
    </row>
    <row r="110" spans="1:11" s="18" customFormat="1" ht="19.8" customHeight="1" x14ac:dyDescent="0.25">
      <c r="A110" s="377"/>
      <c r="B110" s="116">
        <v>0</v>
      </c>
      <c r="C110" s="222">
        <f t="shared" si="44"/>
        <v>271.33999999999997</v>
      </c>
      <c r="D110" s="30" t="s">
        <v>211</v>
      </c>
      <c r="E110" s="49">
        <v>500</v>
      </c>
      <c r="F110" s="201">
        <v>271.33999999999997</v>
      </c>
      <c r="G110" s="104">
        <v>0</v>
      </c>
      <c r="H110" s="104">
        <v>0</v>
      </c>
      <c r="I110" s="9" t="str">
        <f t="shared" si="42"/>
        <v>Моксифлоксацин400мг/250мл флак.</v>
      </c>
      <c r="J110" s="65">
        <f t="shared" si="43"/>
        <v>0</v>
      </c>
      <c r="K110" s="70">
        <f>F110</f>
        <v>271.33999999999997</v>
      </c>
    </row>
    <row r="111" spans="1:11" s="18" customFormat="1" ht="19.8" customHeight="1" thickBot="1" x14ac:dyDescent="0.3">
      <c r="A111" s="377"/>
      <c r="B111" s="116">
        <v>0</v>
      </c>
      <c r="C111" s="201">
        <f t="shared" si="44"/>
        <v>1E-3</v>
      </c>
      <c r="D111" s="30" t="s">
        <v>229</v>
      </c>
      <c r="E111" s="49">
        <v>1</v>
      </c>
      <c r="F111" s="201">
        <v>1E-3</v>
      </c>
      <c r="G111" s="104">
        <v>0</v>
      </c>
      <c r="H111" s="104">
        <v>0</v>
      </c>
      <c r="I111" s="9" t="str">
        <f t="shared" si="42"/>
        <v>Зовнішний електрод до дефібрилятора, шт</v>
      </c>
      <c r="J111" s="65">
        <f t="shared" si="43"/>
        <v>0</v>
      </c>
      <c r="K111" s="183">
        <f>F111</f>
        <v>1E-3</v>
      </c>
    </row>
    <row r="112" spans="1:11" s="18" customFormat="1" ht="25.2" customHeight="1" x14ac:dyDescent="0.25">
      <c r="A112" s="374" t="s">
        <v>227</v>
      </c>
      <c r="B112" s="402" t="s">
        <v>61</v>
      </c>
      <c r="C112" s="403"/>
      <c r="D112" s="403"/>
      <c r="E112" s="43"/>
      <c r="F112" s="198">
        <f>F113+F114+F115</f>
        <v>0.17699999999999999</v>
      </c>
      <c r="G112" s="404" t="s">
        <v>61</v>
      </c>
      <c r="H112" s="405"/>
      <c r="I112" s="406"/>
      <c r="J112" s="163">
        <f>J113+J114+J115</f>
        <v>0.17699999999999999</v>
      </c>
      <c r="K112" s="136">
        <v>0</v>
      </c>
    </row>
    <row r="113" spans="1:19" ht="54.75" customHeight="1" x14ac:dyDescent="0.25">
      <c r="A113" s="375"/>
      <c r="B113" s="119">
        <v>1</v>
      </c>
      <c r="C113" s="221">
        <f>F112:F113</f>
        <v>5.8999999999999997E-2</v>
      </c>
      <c r="D113" s="30" t="s">
        <v>201</v>
      </c>
      <c r="E113" s="46">
        <v>2</v>
      </c>
      <c r="F113" s="201">
        <v>5.8999999999999997E-2</v>
      </c>
      <c r="G113" s="114">
        <v>0</v>
      </c>
      <c r="H113" s="104">
        <v>0</v>
      </c>
      <c r="I113" s="9" t="str">
        <f t="shared" ref="I113:I115" si="48">D113</f>
        <v>Багаторазова манжета для визначення артеріальноготиску для дорослих Hillrom FlexiPort 11L шт</v>
      </c>
      <c r="J113" s="171">
        <f t="shared" ref="J113:J115" si="49">F113</f>
        <v>5.8999999999999997E-2</v>
      </c>
      <c r="K113" s="138">
        <v>0</v>
      </c>
    </row>
    <row r="114" spans="1:19" ht="48" customHeight="1" x14ac:dyDescent="0.25">
      <c r="A114" s="375"/>
      <c r="B114" s="116">
        <v>1</v>
      </c>
      <c r="C114" s="222">
        <f>F112:F114</f>
        <v>5.8999999999999997E-2</v>
      </c>
      <c r="D114" s="30" t="s">
        <v>202</v>
      </c>
      <c r="E114" s="48">
        <v>2</v>
      </c>
      <c r="F114" s="201">
        <v>5.8999999999999997E-2</v>
      </c>
      <c r="G114" s="104">
        <v>0</v>
      </c>
      <c r="H114" s="104">
        <v>0</v>
      </c>
      <c r="I114" s="9" t="str">
        <f t="shared" si="48"/>
        <v>Багаторазова манжета Zool, м'яка для немовлят , 2 трубки 9-13см, з'єднувач із замком, коробка 20шт</v>
      </c>
      <c r="J114" s="171">
        <f t="shared" si="49"/>
        <v>5.8999999999999997E-2</v>
      </c>
      <c r="K114" s="138">
        <v>0</v>
      </c>
    </row>
    <row r="115" spans="1:19" ht="30.6" customHeight="1" x14ac:dyDescent="0.25">
      <c r="A115" s="375"/>
      <c r="B115" s="116">
        <v>1</v>
      </c>
      <c r="C115" s="222">
        <f>F112:F115</f>
        <v>5.8999999999999997E-2</v>
      </c>
      <c r="D115" s="47" t="s">
        <v>203</v>
      </c>
      <c r="E115" s="49">
        <v>2</v>
      </c>
      <c r="F115" s="201">
        <v>5.8999999999999997E-2</v>
      </c>
      <c r="G115" s="104">
        <v>0</v>
      </c>
      <c r="H115" s="104">
        <v>0</v>
      </c>
      <c r="I115" s="9" t="str">
        <f t="shared" si="48"/>
        <v>Сумка для перене сення дефібрілятора  Zool шт</v>
      </c>
      <c r="J115" s="171">
        <f t="shared" si="49"/>
        <v>5.8999999999999997E-2</v>
      </c>
      <c r="K115" s="138"/>
    </row>
    <row r="116" spans="1:19" ht="18" customHeight="1" x14ac:dyDescent="0.25">
      <c r="A116" s="375"/>
      <c r="B116" s="410" t="s">
        <v>15</v>
      </c>
      <c r="C116" s="411"/>
      <c r="D116" s="411"/>
      <c r="E116" s="411"/>
      <c r="F116" s="211">
        <f>F117+F140</f>
        <v>1.68</v>
      </c>
      <c r="G116" s="411" t="s">
        <v>15</v>
      </c>
      <c r="H116" s="411"/>
      <c r="I116" s="411"/>
      <c r="J116" s="177">
        <f>J117+J140</f>
        <v>1.302</v>
      </c>
      <c r="K116" s="90">
        <f>K117+K140</f>
        <v>0.378</v>
      </c>
    </row>
    <row r="117" spans="1:19" ht="29.4" customHeight="1" thickBot="1" x14ac:dyDescent="0.3">
      <c r="A117" s="375"/>
      <c r="B117" s="117">
        <v>1</v>
      </c>
      <c r="C117" s="220">
        <f t="shared" ref="C117" si="50">F116:F117</f>
        <v>1.68</v>
      </c>
      <c r="D117" s="13" t="s">
        <v>228</v>
      </c>
      <c r="E117" s="213">
        <v>4</v>
      </c>
      <c r="F117" s="180">
        <v>1.68</v>
      </c>
      <c r="G117" s="105">
        <v>0</v>
      </c>
      <c r="H117" s="105">
        <v>0</v>
      </c>
      <c r="I117" s="13" t="str">
        <f t="shared" ref="I117" si="51">D117</f>
        <v>Натрію хлорід 0,9% для внутрішньовенних інфузій 1000мл у флак. №10, упак.</v>
      </c>
      <c r="J117" s="65">
        <f t="shared" ref="J117" si="52">F117-K117</f>
        <v>1.302</v>
      </c>
      <c r="K117" s="140">
        <v>0.378</v>
      </c>
    </row>
    <row r="118" spans="1:19" ht="48" customHeight="1" x14ac:dyDescent="0.25">
      <c r="A118" s="375"/>
      <c r="B118" s="402" t="s">
        <v>56</v>
      </c>
      <c r="C118" s="403"/>
      <c r="D118" s="403"/>
      <c r="E118" s="403"/>
      <c r="F118" s="198">
        <f>F119</f>
        <v>1291.087</v>
      </c>
      <c r="G118" s="407" t="s">
        <v>56</v>
      </c>
      <c r="H118" s="408"/>
      <c r="I118" s="409"/>
      <c r="J118" s="178">
        <f>J119</f>
        <v>1291.087</v>
      </c>
      <c r="K118" s="136">
        <v>0</v>
      </c>
    </row>
    <row r="119" spans="1:19" ht="38.25" customHeight="1" thickBot="1" x14ac:dyDescent="0.3">
      <c r="A119" s="375"/>
      <c r="B119" s="117">
        <v>1</v>
      </c>
      <c r="C119" s="220">
        <f t="shared" ref="C119" si="53">F118:F119</f>
        <v>1291.087</v>
      </c>
      <c r="D119" s="13" t="s">
        <v>204</v>
      </c>
      <c r="E119" s="213">
        <v>2</v>
      </c>
      <c r="F119" s="180">
        <v>1291.087</v>
      </c>
      <c r="G119" s="105">
        <v>0</v>
      </c>
      <c r="H119" s="105">
        <v>0</v>
      </c>
      <c r="I119" s="13" t="str">
        <f t="shared" ref="I119" si="54">D119</f>
        <v>Дефібрілятор Zool шт</v>
      </c>
      <c r="J119" s="179">
        <f t="shared" ref="J119" si="55">F119</f>
        <v>1291.087</v>
      </c>
      <c r="K119" s="140">
        <v>0</v>
      </c>
    </row>
    <row r="120" spans="1:19" ht="36.6" customHeight="1" thickBot="1" x14ac:dyDescent="0.3">
      <c r="A120" s="382" t="s">
        <v>238</v>
      </c>
      <c r="B120" s="383"/>
      <c r="C120" s="383"/>
      <c r="D120" s="383"/>
      <c r="E120" s="384"/>
      <c r="F120" s="199">
        <f>F5+F24+F71+F83+F86+F88+F92+F112+F116+F118</f>
        <v>2869.22921</v>
      </c>
      <c r="G120" s="385" t="s">
        <v>238</v>
      </c>
      <c r="H120" s="386"/>
      <c r="I120" s="387"/>
      <c r="J120" s="170">
        <f t="shared" ref="J120" si="56">J5+J24+J71+J83+J86+J88+J92+J112+J116+J118</f>
        <v>1714.2418500000001</v>
      </c>
      <c r="K120" s="219">
        <f>K5+K24+K71+K83+K86+K88+K92+K112+K116+K118</f>
        <v>1154.9873599999999</v>
      </c>
    </row>
    <row r="122" spans="1:19" s="121" customFormat="1" ht="18" x14ac:dyDescent="0.35">
      <c r="B122" s="122"/>
      <c r="C122" s="51"/>
      <c r="D122" s="123" t="s">
        <v>142</v>
      </c>
      <c r="E122" s="124"/>
      <c r="F122" s="51"/>
      <c r="G122" s="122"/>
      <c r="H122" s="122"/>
      <c r="I122" s="125"/>
      <c r="J122" s="84"/>
      <c r="K122" s="120"/>
      <c r="L122" s="126"/>
      <c r="M122" s="126"/>
      <c r="N122" s="18"/>
      <c r="O122" s="18"/>
      <c r="P122" s="18"/>
      <c r="Q122" s="18"/>
      <c r="R122" s="18"/>
      <c r="S122" s="126"/>
    </row>
    <row r="123" spans="1:19" s="121" customFormat="1" ht="18" x14ac:dyDescent="0.35">
      <c r="B123" s="122"/>
      <c r="C123" s="51"/>
      <c r="D123" s="125"/>
      <c r="E123" s="124"/>
      <c r="F123" s="51"/>
      <c r="G123" s="122"/>
      <c r="H123" s="122"/>
      <c r="I123" s="125"/>
      <c r="J123" s="84"/>
      <c r="K123" s="120"/>
      <c r="L123" s="126"/>
      <c r="M123" s="126"/>
      <c r="N123" s="18"/>
      <c r="O123" s="18"/>
      <c r="P123" s="18"/>
      <c r="Q123" s="18"/>
      <c r="R123" s="18"/>
      <c r="S123" s="126"/>
    </row>
    <row r="124" spans="1:19" s="121" customFormat="1" ht="30" customHeight="1" x14ac:dyDescent="0.35">
      <c r="B124" s="122"/>
      <c r="C124" s="51"/>
      <c r="D124" s="127" t="s">
        <v>143</v>
      </c>
      <c r="E124" s="124" t="s">
        <v>144</v>
      </c>
      <c r="F124" s="51"/>
      <c r="G124" s="122" t="s">
        <v>145</v>
      </c>
      <c r="H124" s="122"/>
      <c r="I124" s="125"/>
      <c r="J124" s="84"/>
      <c r="K124" s="120"/>
      <c r="L124" s="126"/>
      <c r="M124" s="126"/>
      <c r="N124" s="18"/>
      <c r="O124" s="18"/>
      <c r="P124" s="18"/>
      <c r="Q124" s="18"/>
      <c r="R124" s="18"/>
      <c r="S124" s="126"/>
    </row>
    <row r="125" spans="1:19" s="121" customFormat="1" ht="18" x14ac:dyDescent="0.35">
      <c r="B125" s="122"/>
      <c r="C125" s="51"/>
      <c r="D125" s="125"/>
      <c r="E125" s="124"/>
      <c r="F125" s="51"/>
      <c r="G125" s="122"/>
      <c r="H125" s="122"/>
      <c r="I125" s="125"/>
      <c r="J125" s="84"/>
      <c r="K125" s="120"/>
      <c r="L125" s="126"/>
      <c r="M125" s="126"/>
      <c r="N125" s="18"/>
      <c r="O125" s="18"/>
      <c r="P125" s="18"/>
      <c r="Q125" s="18"/>
      <c r="R125" s="18"/>
      <c r="S125" s="126"/>
    </row>
    <row r="126" spans="1:19" s="121" customFormat="1" ht="18" x14ac:dyDescent="0.35">
      <c r="B126" s="122"/>
      <c r="C126" s="51"/>
      <c r="D126" s="123" t="s">
        <v>146</v>
      </c>
      <c r="E126" s="124"/>
      <c r="F126" s="51"/>
      <c r="G126" s="122"/>
      <c r="H126" s="122"/>
      <c r="I126" s="125"/>
      <c r="J126" s="84"/>
      <c r="K126" s="120"/>
      <c r="L126" s="126"/>
      <c r="M126" s="126"/>
      <c r="N126" s="18"/>
      <c r="O126" s="18"/>
      <c r="P126" s="18"/>
      <c r="Q126" s="18"/>
      <c r="R126" s="18"/>
      <c r="S126" s="126"/>
    </row>
    <row r="127" spans="1:19" s="121" customFormat="1" ht="43.5" customHeight="1" x14ac:dyDescent="0.35">
      <c r="B127" s="122"/>
      <c r="C127" s="51"/>
      <c r="D127" s="128" t="s">
        <v>147</v>
      </c>
      <c r="E127" s="124" t="s">
        <v>148</v>
      </c>
      <c r="F127" s="51"/>
      <c r="G127" s="122" t="s">
        <v>149</v>
      </c>
      <c r="H127" s="122"/>
      <c r="I127" s="125"/>
      <c r="J127" s="84"/>
      <c r="K127" s="120"/>
      <c r="L127" s="126"/>
      <c r="M127" s="126"/>
      <c r="N127" s="18"/>
      <c r="O127" s="18"/>
      <c r="P127" s="18"/>
      <c r="Q127" s="18"/>
      <c r="R127" s="18"/>
      <c r="S127" s="126"/>
    </row>
    <row r="128" spans="1:19" s="121" customFormat="1" ht="42.75" customHeight="1" x14ac:dyDescent="0.35">
      <c r="B128" s="122"/>
      <c r="C128" s="51"/>
      <c r="D128" s="128" t="s">
        <v>150</v>
      </c>
      <c r="E128" s="124" t="s">
        <v>148</v>
      </c>
      <c r="F128" s="51"/>
      <c r="G128" s="122" t="s">
        <v>151</v>
      </c>
      <c r="H128" s="122"/>
      <c r="I128" s="125"/>
      <c r="J128" s="84"/>
      <c r="K128" s="120"/>
      <c r="L128" s="126"/>
      <c r="M128" s="126"/>
      <c r="N128" s="18"/>
      <c r="O128" s="18"/>
      <c r="P128" s="18"/>
      <c r="Q128" s="18"/>
      <c r="R128" s="18"/>
      <c r="S128" s="126"/>
    </row>
    <row r="129" spans="2:19" s="121" customFormat="1" ht="55.5" customHeight="1" x14ac:dyDescent="0.35">
      <c r="B129" s="122"/>
      <c r="C129" s="51"/>
      <c r="D129" s="128" t="s">
        <v>152</v>
      </c>
      <c r="E129" s="124" t="s">
        <v>148</v>
      </c>
      <c r="F129" s="51"/>
      <c r="G129" s="122" t="s">
        <v>153</v>
      </c>
      <c r="H129" s="122"/>
      <c r="I129" s="125"/>
      <c r="J129" s="84"/>
      <c r="K129" s="120"/>
      <c r="L129" s="126"/>
      <c r="M129" s="126"/>
      <c r="N129" s="18"/>
      <c r="O129" s="18"/>
      <c r="P129" s="18"/>
      <c r="Q129" s="18"/>
      <c r="R129" s="18"/>
      <c r="S129" s="126"/>
    </row>
    <row r="130" spans="2:19" x14ac:dyDescent="0.25">
      <c r="D130" s="3"/>
    </row>
  </sheetData>
  <mergeCells count="59">
    <mergeCell ref="A4:K4"/>
    <mergeCell ref="G50:I50"/>
    <mergeCell ref="B53:E53"/>
    <mergeCell ref="G53:I53"/>
    <mergeCell ref="B44:E44"/>
    <mergeCell ref="G44:I44"/>
    <mergeCell ref="A1:K1"/>
    <mergeCell ref="A2:A3"/>
    <mergeCell ref="B2:C2"/>
    <mergeCell ref="D2:D3"/>
    <mergeCell ref="E2:E3"/>
    <mergeCell ref="F2:F3"/>
    <mergeCell ref="G2:J2"/>
    <mergeCell ref="K2:K3"/>
    <mergeCell ref="B66:E66"/>
    <mergeCell ref="G66:I66"/>
    <mergeCell ref="A5:A23"/>
    <mergeCell ref="B5:E5"/>
    <mergeCell ref="G5:I5"/>
    <mergeCell ref="A24:A43"/>
    <mergeCell ref="B24:E24"/>
    <mergeCell ref="G24:I24"/>
    <mergeCell ref="B25:E25"/>
    <mergeCell ref="G25:I25"/>
    <mergeCell ref="B31:E31"/>
    <mergeCell ref="G31:I31"/>
    <mergeCell ref="B39:E39"/>
    <mergeCell ref="G39:I39"/>
    <mergeCell ref="A44:A70"/>
    <mergeCell ref="B50:E50"/>
    <mergeCell ref="B56:E56"/>
    <mergeCell ref="G56:I56"/>
    <mergeCell ref="B59:E59"/>
    <mergeCell ref="G59:I59"/>
    <mergeCell ref="B63:E63"/>
    <mergeCell ref="G63:I63"/>
    <mergeCell ref="A88:A111"/>
    <mergeCell ref="B88:E88"/>
    <mergeCell ref="G88:I88"/>
    <mergeCell ref="B92:E92"/>
    <mergeCell ref="G92:I92"/>
    <mergeCell ref="B93:E93"/>
    <mergeCell ref="G93:I93"/>
    <mergeCell ref="A71:A87"/>
    <mergeCell ref="B71:D71"/>
    <mergeCell ref="G71:I71"/>
    <mergeCell ref="B83:E83"/>
    <mergeCell ref="G83:I83"/>
    <mergeCell ref="B86:E86"/>
    <mergeCell ref="G86:I86"/>
    <mergeCell ref="A120:E120"/>
    <mergeCell ref="G120:I120"/>
    <mergeCell ref="A112:A119"/>
    <mergeCell ref="B112:D112"/>
    <mergeCell ref="G112:I112"/>
    <mergeCell ref="B118:E118"/>
    <mergeCell ref="G118:I118"/>
    <mergeCell ref="B116:E116"/>
    <mergeCell ref="G116:I116"/>
  </mergeCells>
  <printOptions horizontalCentered="1" verticalCentered="1"/>
  <pageMargins left="0" right="0" top="0.19685039370078741" bottom="0.19685039370078741" header="0" footer="0"/>
  <pageSetup paperSize="9" scale="8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7"/>
  <sheetViews>
    <sheetView view="pageBreakPreview" topLeftCell="B43" zoomScale="110" zoomScaleNormal="80" zoomScaleSheetLayoutView="110" workbookViewId="0">
      <selection activeCell="G2" sqref="G2:J2"/>
    </sheetView>
  </sheetViews>
  <sheetFormatPr defaultColWidth="9.33203125" defaultRowHeight="15.6" x14ac:dyDescent="0.25"/>
  <cols>
    <col min="1" max="1" width="9.77734375" style="50" customWidth="1"/>
    <col min="2" max="2" width="11.6640625" style="115" customWidth="1"/>
    <col min="3" max="3" width="12.33203125" style="51" customWidth="1"/>
    <col min="4" max="4" width="37.109375" style="2" customWidth="1"/>
    <col min="5" max="5" width="14.33203125" style="52" customWidth="1"/>
    <col min="6" max="6" width="12.33203125" style="51" customWidth="1"/>
    <col min="7" max="7" width="13" style="115" customWidth="1"/>
    <col min="8" max="8" width="9" style="115" customWidth="1"/>
    <col min="9" max="9" width="38.6640625" style="2" customWidth="1"/>
    <col min="10" max="10" width="11.77734375" style="84" customWidth="1"/>
    <col min="11" max="11" width="10.44140625" style="120" customWidth="1"/>
    <col min="12" max="12" width="9.33203125" style="18"/>
    <col min="13" max="13" width="17.44140625" style="18" bestFit="1" customWidth="1"/>
    <col min="14" max="14" width="18.44140625" style="18" customWidth="1"/>
    <col min="15" max="15" width="16" style="18" customWidth="1"/>
    <col min="16" max="19" width="9.33203125" style="18"/>
    <col min="20" max="16384" width="9.33203125" style="1"/>
  </cols>
  <sheetData>
    <row r="1" spans="1:19" ht="51.75" customHeight="1" thickBot="1" x14ac:dyDescent="0.3">
      <c r="A1" s="419" t="s">
        <v>156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9" s="4" customFormat="1" ht="60.75" customHeight="1" x14ac:dyDescent="0.25">
      <c r="A2" s="348" t="s">
        <v>0</v>
      </c>
      <c r="B2" s="448" t="s">
        <v>1</v>
      </c>
      <c r="C2" s="448"/>
      <c r="D2" s="448" t="s">
        <v>2</v>
      </c>
      <c r="E2" s="450" t="s">
        <v>3</v>
      </c>
      <c r="F2" s="452" t="s">
        <v>4</v>
      </c>
      <c r="G2" s="454" t="s">
        <v>5</v>
      </c>
      <c r="H2" s="455"/>
      <c r="I2" s="455"/>
      <c r="J2" s="456"/>
      <c r="K2" s="457" t="s">
        <v>6</v>
      </c>
      <c r="L2" s="58"/>
      <c r="M2" s="58"/>
      <c r="N2" s="58"/>
      <c r="O2" s="58"/>
      <c r="P2" s="58"/>
      <c r="Q2" s="58"/>
      <c r="R2" s="58"/>
      <c r="S2" s="58"/>
    </row>
    <row r="3" spans="1:19" s="4" customFormat="1" ht="69" customHeight="1" thickBot="1" x14ac:dyDescent="0.3">
      <c r="A3" s="349"/>
      <c r="B3" s="131" t="s">
        <v>7</v>
      </c>
      <c r="C3" s="154" t="s">
        <v>8</v>
      </c>
      <c r="D3" s="449"/>
      <c r="E3" s="451"/>
      <c r="F3" s="453"/>
      <c r="G3" s="130" t="s">
        <v>9</v>
      </c>
      <c r="H3" s="132" t="s">
        <v>10</v>
      </c>
      <c r="I3" s="133" t="s">
        <v>11</v>
      </c>
      <c r="J3" s="134" t="s">
        <v>12</v>
      </c>
      <c r="K3" s="458"/>
      <c r="L3" s="58"/>
      <c r="M3" s="58"/>
      <c r="N3" s="58"/>
      <c r="O3" s="58"/>
      <c r="P3" s="58"/>
      <c r="Q3" s="58"/>
      <c r="R3" s="58"/>
      <c r="S3" s="58"/>
    </row>
    <row r="4" spans="1:19" ht="27" customHeight="1" thickBot="1" x14ac:dyDescent="0.3">
      <c r="A4" s="426" t="s">
        <v>159</v>
      </c>
      <c r="B4" s="427"/>
      <c r="C4" s="427"/>
      <c r="D4" s="427"/>
      <c r="E4" s="427"/>
      <c r="F4" s="427"/>
      <c r="G4" s="427"/>
      <c r="H4" s="427"/>
      <c r="I4" s="427"/>
      <c r="J4" s="427"/>
      <c r="K4" s="428"/>
    </row>
    <row r="5" spans="1:19" s="6" customFormat="1" ht="24" customHeight="1" x14ac:dyDescent="0.3">
      <c r="A5" s="337" t="s">
        <v>13</v>
      </c>
      <c r="B5" s="339" t="s">
        <v>14</v>
      </c>
      <c r="C5" s="340"/>
      <c r="D5" s="340"/>
      <c r="E5" s="341"/>
      <c r="F5" s="5"/>
      <c r="G5" s="342" t="s">
        <v>14</v>
      </c>
      <c r="H5" s="340"/>
      <c r="I5" s="341"/>
      <c r="J5" s="76"/>
      <c r="K5" s="63"/>
      <c r="L5" s="59"/>
      <c r="M5" s="60">
        <f>F5+F24+F74+F77+F91+F94+F98+F102+F167+F170+F175+F180+F182</f>
        <v>810.29581400000018</v>
      </c>
      <c r="N5" s="18"/>
      <c r="O5" s="18"/>
      <c r="P5" s="18"/>
      <c r="Q5" s="18"/>
      <c r="R5" s="18"/>
      <c r="S5" s="59"/>
    </row>
    <row r="6" spans="1:19" ht="21" customHeight="1" x14ac:dyDescent="0.25">
      <c r="A6" s="338"/>
      <c r="B6" s="116">
        <v>0</v>
      </c>
      <c r="C6" s="157">
        <f>18999.86/1000</f>
        <v>18.999860000000002</v>
      </c>
      <c r="D6" s="156" t="s">
        <v>157</v>
      </c>
      <c r="E6" s="104">
        <v>1</v>
      </c>
      <c r="F6" s="7">
        <f>C6</f>
        <v>18.999860000000002</v>
      </c>
      <c r="G6" s="104">
        <v>0</v>
      </c>
      <c r="H6" s="104">
        <v>0</v>
      </c>
      <c r="I6" s="9" t="str">
        <f>D6</f>
        <v>Машина пральна "SAMSUNG"</v>
      </c>
      <c r="J6" s="77">
        <v>0</v>
      </c>
      <c r="K6" s="56">
        <f>F6-J6</f>
        <v>18.999860000000002</v>
      </c>
    </row>
    <row r="7" spans="1:19" ht="21" customHeight="1" x14ac:dyDescent="0.25">
      <c r="A7" s="338"/>
      <c r="B7" s="116">
        <v>0</v>
      </c>
      <c r="C7" s="157">
        <v>5.7</v>
      </c>
      <c r="D7" s="156" t="s">
        <v>158</v>
      </c>
      <c r="E7" s="104">
        <v>10</v>
      </c>
      <c r="F7" s="7">
        <f>C7</f>
        <v>5.7</v>
      </c>
      <c r="G7" s="104">
        <v>0</v>
      </c>
      <c r="H7" s="104">
        <v>0</v>
      </c>
      <c r="I7" s="9" t="str">
        <f t="shared" ref="I7:I23" si="0">D7</f>
        <v>Будівелльні матеріали</v>
      </c>
      <c r="J7" s="77">
        <f t="shared" ref="J7:J23" si="1">F7</f>
        <v>5.7</v>
      </c>
      <c r="K7" s="56">
        <f>F7-J7</f>
        <v>0</v>
      </c>
    </row>
    <row r="8" spans="1:19" ht="21" customHeight="1" x14ac:dyDescent="0.25">
      <c r="A8" s="338"/>
      <c r="B8" s="116">
        <v>0</v>
      </c>
      <c r="C8" s="7">
        <v>2.2999999999999998</v>
      </c>
      <c r="D8" s="156" t="s">
        <v>158</v>
      </c>
      <c r="E8" s="104">
        <v>10</v>
      </c>
      <c r="F8" s="7">
        <f t="shared" ref="F8:F23" si="2">C8</f>
        <v>2.2999999999999998</v>
      </c>
      <c r="G8" s="104">
        <v>0</v>
      </c>
      <c r="H8" s="104">
        <v>0</v>
      </c>
      <c r="I8" s="9" t="str">
        <f t="shared" si="0"/>
        <v>Будівелльні матеріали</v>
      </c>
      <c r="J8" s="77">
        <f t="shared" si="1"/>
        <v>2.2999999999999998</v>
      </c>
      <c r="K8" s="56">
        <f t="shared" ref="K8:K23" si="3">F8-J8</f>
        <v>0</v>
      </c>
    </row>
    <row r="9" spans="1:19" ht="21" customHeight="1" x14ac:dyDescent="0.25">
      <c r="A9" s="338"/>
      <c r="B9" s="116">
        <v>0</v>
      </c>
      <c r="C9" s="10">
        <v>10.199999999999999</v>
      </c>
      <c r="D9" s="156" t="s">
        <v>158</v>
      </c>
      <c r="E9" s="104">
        <v>10</v>
      </c>
      <c r="F9" s="7">
        <f>C9</f>
        <v>10.199999999999999</v>
      </c>
      <c r="G9" s="104">
        <v>0</v>
      </c>
      <c r="H9" s="104">
        <v>0</v>
      </c>
      <c r="I9" s="9" t="str">
        <f t="shared" si="0"/>
        <v>Будівелльні матеріали</v>
      </c>
      <c r="J9" s="77">
        <f t="shared" si="1"/>
        <v>10.199999999999999</v>
      </c>
      <c r="K9" s="56">
        <f t="shared" si="3"/>
        <v>0</v>
      </c>
    </row>
    <row r="10" spans="1:19" ht="21" customHeight="1" x14ac:dyDescent="0.25">
      <c r="A10" s="338"/>
      <c r="B10" s="116">
        <v>0</v>
      </c>
      <c r="C10" s="7">
        <v>2.02</v>
      </c>
      <c r="D10" s="156" t="s">
        <v>158</v>
      </c>
      <c r="E10" s="104">
        <v>5</v>
      </c>
      <c r="F10" s="7">
        <f t="shared" si="2"/>
        <v>2.02</v>
      </c>
      <c r="G10" s="104">
        <v>0</v>
      </c>
      <c r="H10" s="104">
        <v>0</v>
      </c>
      <c r="I10" s="9" t="str">
        <f t="shared" si="0"/>
        <v>Будівелльні матеріали</v>
      </c>
      <c r="J10" s="77">
        <f t="shared" si="1"/>
        <v>2.02</v>
      </c>
      <c r="K10" s="56">
        <f t="shared" si="3"/>
        <v>0</v>
      </c>
    </row>
    <row r="11" spans="1:19" ht="21" customHeight="1" x14ac:dyDescent="0.25">
      <c r="A11" s="338"/>
      <c r="B11" s="116">
        <v>0</v>
      </c>
      <c r="C11" s="7">
        <v>4.5999999999999996</v>
      </c>
      <c r="D11" s="156" t="s">
        <v>160</v>
      </c>
      <c r="E11" s="104">
        <v>1</v>
      </c>
      <c r="F11" s="7">
        <f t="shared" si="2"/>
        <v>4.5999999999999996</v>
      </c>
      <c r="G11" s="104">
        <v>0</v>
      </c>
      <c r="H11" s="104">
        <v>0</v>
      </c>
      <c r="I11" s="9" t="str">
        <f t="shared" si="0"/>
        <v>Дизельное паливо</v>
      </c>
      <c r="J11" s="77">
        <v>0</v>
      </c>
      <c r="K11" s="56">
        <f t="shared" si="3"/>
        <v>4.5999999999999996</v>
      </c>
    </row>
    <row r="12" spans="1:19" ht="21" customHeight="1" x14ac:dyDescent="0.25">
      <c r="A12" s="338"/>
      <c r="B12" s="116">
        <v>0</v>
      </c>
      <c r="C12" s="7">
        <v>8.6</v>
      </c>
      <c r="D12" s="156" t="s">
        <v>161</v>
      </c>
      <c r="E12" s="104">
        <v>20</v>
      </c>
      <c r="F12" s="7">
        <f t="shared" si="2"/>
        <v>8.6</v>
      </c>
      <c r="G12" s="104">
        <v>0</v>
      </c>
      <c r="H12" s="104">
        <v>0</v>
      </c>
      <c r="I12" s="9" t="str">
        <f t="shared" si="0"/>
        <v xml:space="preserve">Подушки, ковдра, простирадло, наволочки </v>
      </c>
      <c r="J12" s="77">
        <f t="shared" si="1"/>
        <v>8.6</v>
      </c>
      <c r="K12" s="56">
        <v>8.6</v>
      </c>
    </row>
    <row r="13" spans="1:19" ht="21" customHeight="1" x14ac:dyDescent="0.25">
      <c r="A13" s="338"/>
      <c r="B13" s="116">
        <v>0</v>
      </c>
      <c r="C13" s="7">
        <v>0.3</v>
      </c>
      <c r="D13" s="156" t="s">
        <v>158</v>
      </c>
      <c r="E13" s="104">
        <v>2</v>
      </c>
      <c r="F13" s="7">
        <f t="shared" si="2"/>
        <v>0.3</v>
      </c>
      <c r="G13" s="104">
        <v>0</v>
      </c>
      <c r="H13" s="104">
        <v>0</v>
      </c>
      <c r="I13" s="9" t="str">
        <f t="shared" si="0"/>
        <v>Будівелльні матеріали</v>
      </c>
      <c r="J13" s="77">
        <f t="shared" si="1"/>
        <v>0.3</v>
      </c>
      <c r="K13" s="56">
        <f t="shared" si="3"/>
        <v>0</v>
      </c>
    </row>
    <row r="14" spans="1:19" ht="22.5" customHeight="1" x14ac:dyDescent="0.25">
      <c r="A14" s="338"/>
      <c r="B14" s="116">
        <v>0</v>
      </c>
      <c r="C14" s="7">
        <v>11.2</v>
      </c>
      <c r="D14" s="156" t="s">
        <v>158</v>
      </c>
      <c r="E14" s="104">
        <v>10</v>
      </c>
      <c r="F14" s="7">
        <f t="shared" si="2"/>
        <v>11.2</v>
      </c>
      <c r="G14" s="104">
        <v>0</v>
      </c>
      <c r="H14" s="104">
        <v>0</v>
      </c>
      <c r="I14" s="9" t="str">
        <f t="shared" si="0"/>
        <v>Будівелльні матеріали</v>
      </c>
      <c r="J14" s="77">
        <f t="shared" si="1"/>
        <v>11.2</v>
      </c>
      <c r="K14" s="56">
        <f t="shared" si="3"/>
        <v>0</v>
      </c>
    </row>
    <row r="15" spans="1:19" ht="21" customHeight="1" x14ac:dyDescent="0.25">
      <c r="A15" s="338"/>
      <c r="B15" s="116">
        <v>0</v>
      </c>
      <c r="C15" s="7">
        <v>2.8</v>
      </c>
      <c r="D15" s="156" t="s">
        <v>162</v>
      </c>
      <c r="E15" s="104">
        <v>1</v>
      </c>
      <c r="F15" s="7">
        <f t="shared" si="2"/>
        <v>2.8</v>
      </c>
      <c r="G15" s="104">
        <v>0</v>
      </c>
      <c r="H15" s="104">
        <v>0</v>
      </c>
      <c r="I15" s="9" t="str">
        <f t="shared" si="0"/>
        <v>Макет догожного знаку</v>
      </c>
      <c r="J15" s="77">
        <f t="shared" si="1"/>
        <v>2.8</v>
      </c>
      <c r="K15" s="56">
        <f t="shared" si="3"/>
        <v>0</v>
      </c>
    </row>
    <row r="16" spans="1:19" s="18" customFormat="1" ht="22.5" customHeight="1" x14ac:dyDescent="0.25">
      <c r="A16" s="338"/>
      <c r="B16" s="116">
        <v>0</v>
      </c>
      <c r="C16" s="7">
        <v>8.5</v>
      </c>
      <c r="D16" s="156" t="s">
        <v>163</v>
      </c>
      <c r="E16" s="104">
        <v>1</v>
      </c>
      <c r="F16" s="7">
        <f t="shared" si="2"/>
        <v>8.5</v>
      </c>
      <c r="G16" s="104">
        <v>0</v>
      </c>
      <c r="H16" s="104">
        <v>0</v>
      </c>
      <c r="I16" s="9" t="str">
        <f t="shared" si="0"/>
        <v>Холодильник GRUNHELM GRW-138DD</v>
      </c>
      <c r="J16" s="77">
        <f t="shared" si="1"/>
        <v>8.5</v>
      </c>
      <c r="K16" s="56">
        <v>8.5</v>
      </c>
    </row>
    <row r="17" spans="1:19" s="18" customFormat="1" ht="30" customHeight="1" x14ac:dyDescent="0.25">
      <c r="A17" s="338"/>
      <c r="B17" s="116">
        <v>0</v>
      </c>
      <c r="C17" s="7">
        <v>13.3</v>
      </c>
      <c r="D17" s="156" t="s">
        <v>164</v>
      </c>
      <c r="E17" s="104">
        <v>30</v>
      </c>
      <c r="F17" s="7">
        <f t="shared" ref="F17:F22" si="4">ROUND(C17,2)</f>
        <v>13.3</v>
      </c>
      <c r="G17" s="104">
        <v>0</v>
      </c>
      <c r="H17" s="104">
        <v>0</v>
      </c>
      <c r="I17" s="9" t="str">
        <f t="shared" si="0"/>
        <v>Канцелярське приладдя</v>
      </c>
      <c r="J17" s="77">
        <f t="shared" si="1"/>
        <v>13.3</v>
      </c>
      <c r="K17" s="56">
        <f t="shared" si="3"/>
        <v>0</v>
      </c>
    </row>
    <row r="18" spans="1:19" s="18" customFormat="1" ht="31.5" customHeight="1" x14ac:dyDescent="0.25">
      <c r="A18" s="338"/>
      <c r="B18" s="116">
        <v>0</v>
      </c>
      <c r="C18" s="7">
        <v>3.6</v>
      </c>
      <c r="D18" s="156" t="s">
        <v>165</v>
      </c>
      <c r="E18" s="104">
        <v>1</v>
      </c>
      <c r="F18" s="7">
        <f t="shared" si="4"/>
        <v>3.6</v>
      </c>
      <c r="G18" s="104">
        <v>0</v>
      </c>
      <c r="H18" s="104">
        <v>0</v>
      </c>
      <c r="I18" s="9" t="str">
        <f t="shared" si="0"/>
        <v>Тример садовий Gartner BCE-1940</v>
      </c>
      <c r="J18" s="77">
        <f t="shared" si="1"/>
        <v>3.6</v>
      </c>
      <c r="K18" s="56">
        <v>3.6</v>
      </c>
    </row>
    <row r="19" spans="1:19" s="18" customFormat="1" ht="31.5" customHeight="1" x14ac:dyDescent="0.25">
      <c r="A19" s="338"/>
      <c r="B19" s="116">
        <v>0</v>
      </c>
      <c r="C19" s="7">
        <v>0.9</v>
      </c>
      <c r="D19" s="156" t="s">
        <v>158</v>
      </c>
      <c r="E19" s="104">
        <v>1</v>
      </c>
      <c r="F19" s="7">
        <f t="shared" si="4"/>
        <v>0.9</v>
      </c>
      <c r="G19" s="104">
        <v>0</v>
      </c>
      <c r="H19" s="104">
        <v>0</v>
      </c>
      <c r="I19" s="9" t="str">
        <f t="shared" si="0"/>
        <v>Будівелльні матеріали</v>
      </c>
      <c r="J19" s="77">
        <f t="shared" si="1"/>
        <v>0.9</v>
      </c>
      <c r="K19" s="56">
        <f t="shared" si="3"/>
        <v>0</v>
      </c>
    </row>
    <row r="20" spans="1:19" s="18" customFormat="1" ht="31.5" customHeight="1" x14ac:dyDescent="0.25">
      <c r="A20" s="338"/>
      <c r="B20" s="116">
        <v>0</v>
      </c>
      <c r="C20" s="7">
        <v>3.8</v>
      </c>
      <c r="D20" s="159" t="s">
        <v>166</v>
      </c>
      <c r="E20" s="104">
        <v>1</v>
      </c>
      <c r="F20" s="7">
        <f t="shared" si="4"/>
        <v>3.8</v>
      </c>
      <c r="G20" s="104">
        <v>0</v>
      </c>
      <c r="H20" s="104">
        <v>0</v>
      </c>
      <c r="I20" s="9" t="str">
        <f t="shared" si="0"/>
        <v>Халат медичний чоловічий</v>
      </c>
      <c r="J20" s="77">
        <f t="shared" si="1"/>
        <v>3.8</v>
      </c>
      <c r="K20" s="56">
        <v>3.8</v>
      </c>
    </row>
    <row r="21" spans="1:19" s="18" customFormat="1" ht="31.5" customHeight="1" x14ac:dyDescent="0.25">
      <c r="A21" s="338"/>
      <c r="B21" s="116">
        <v>0</v>
      </c>
      <c r="C21" s="7">
        <v>14.4</v>
      </c>
      <c r="D21" s="160" t="s">
        <v>167</v>
      </c>
      <c r="E21" s="104">
        <v>1</v>
      </c>
      <c r="F21" s="7">
        <f t="shared" si="4"/>
        <v>14.4</v>
      </c>
      <c r="G21" s="104">
        <v>0</v>
      </c>
      <c r="H21" s="104">
        <v>0</v>
      </c>
      <c r="I21" s="9" t="str">
        <f t="shared" si="0"/>
        <v>ЧВ-Пилосмок б/м SAMSUNG VC07M31A1HP/UK</v>
      </c>
      <c r="J21" s="77">
        <f t="shared" si="1"/>
        <v>14.4</v>
      </c>
      <c r="K21" s="56">
        <v>14.4</v>
      </c>
    </row>
    <row r="22" spans="1:19" s="18" customFormat="1" ht="31.5" customHeight="1" x14ac:dyDescent="0.25">
      <c r="A22" s="338"/>
      <c r="B22" s="116">
        <v>0</v>
      </c>
      <c r="C22" s="7">
        <v>1.7</v>
      </c>
      <c r="D22" s="156" t="s">
        <v>168</v>
      </c>
      <c r="E22" s="104">
        <v>2</v>
      </c>
      <c r="F22" s="7">
        <f t="shared" si="4"/>
        <v>1.7</v>
      </c>
      <c r="G22" s="104">
        <v>0</v>
      </c>
      <c r="H22" s="104">
        <v>0</v>
      </c>
      <c r="I22" s="9" t="str">
        <f t="shared" si="0"/>
        <v>Будівелльні матеріали (фарба)</v>
      </c>
      <c r="J22" s="77">
        <f t="shared" si="1"/>
        <v>1.7</v>
      </c>
      <c r="K22" s="56">
        <f t="shared" si="3"/>
        <v>0</v>
      </c>
    </row>
    <row r="23" spans="1:19" s="18" customFormat="1" ht="31.5" customHeight="1" thickBot="1" x14ac:dyDescent="0.3">
      <c r="A23" s="338"/>
      <c r="B23" s="116">
        <v>0</v>
      </c>
      <c r="C23" s="7">
        <v>8.6</v>
      </c>
      <c r="D23" s="158" t="s">
        <v>169</v>
      </c>
      <c r="E23" s="104">
        <v>7</v>
      </c>
      <c r="F23" s="7">
        <f t="shared" si="2"/>
        <v>8.6</v>
      </c>
      <c r="G23" s="104">
        <v>0</v>
      </c>
      <c r="H23" s="104">
        <v>0</v>
      </c>
      <c r="I23" s="9" t="str">
        <f t="shared" si="0"/>
        <v>Бензин А-95 (в толонах)</v>
      </c>
      <c r="J23" s="77">
        <f t="shared" si="1"/>
        <v>8.6</v>
      </c>
      <c r="K23" s="56">
        <f t="shared" si="3"/>
        <v>0</v>
      </c>
    </row>
    <row r="24" spans="1:19" s="6" customFormat="1" ht="44.25" customHeight="1" x14ac:dyDescent="0.3">
      <c r="A24" s="337" t="s">
        <v>154</v>
      </c>
      <c r="B24" s="330" t="s">
        <v>15</v>
      </c>
      <c r="C24" s="331"/>
      <c r="D24" s="331"/>
      <c r="E24" s="332"/>
      <c r="F24" s="15">
        <f>F25+F32+F48+F51+F54+F57+F59+F65+F68+F70+F40</f>
        <v>158.83906000000002</v>
      </c>
      <c r="G24" s="333" t="s">
        <v>15</v>
      </c>
      <c r="H24" s="331"/>
      <c r="I24" s="332"/>
      <c r="J24" s="78">
        <f>J25+J32+J48+J51+J54+J57+J59+J65+J68+J70+J40</f>
        <v>24.81418</v>
      </c>
      <c r="K24" s="55">
        <f>K25+K32+K48+K51+K54+K57+K59+K65+K68+K70+K40</f>
        <v>181.50962000000001</v>
      </c>
      <c r="L24" s="59"/>
      <c r="M24" s="59"/>
      <c r="N24" s="18"/>
      <c r="O24" s="18"/>
      <c r="P24" s="18"/>
      <c r="Q24" s="18"/>
      <c r="R24" s="18"/>
      <c r="S24" s="59"/>
    </row>
    <row r="25" spans="1:19" ht="35.25" customHeight="1" x14ac:dyDescent="0.25">
      <c r="A25" s="338"/>
      <c r="B25" s="442" t="s">
        <v>16</v>
      </c>
      <c r="C25" s="443"/>
      <c r="D25" s="443"/>
      <c r="E25" s="443"/>
      <c r="F25" s="31">
        <f>F26+F27+F28+F29+F31</f>
        <v>22.661519999999999</v>
      </c>
      <c r="G25" s="443" t="s">
        <v>16</v>
      </c>
      <c r="H25" s="443"/>
      <c r="I25" s="443"/>
      <c r="J25" s="135">
        <f>J26+J27+J28+J29+J31</f>
        <v>21.53152</v>
      </c>
      <c r="K25" s="54">
        <f>SUM(K26:K31)</f>
        <v>1.1299999999999999</v>
      </c>
    </row>
    <row r="26" spans="1:19" ht="32.25" customHeight="1" x14ac:dyDescent="0.25">
      <c r="A26" s="338"/>
      <c r="B26" s="116">
        <v>0</v>
      </c>
      <c r="C26" s="7">
        <v>35.200000000000003</v>
      </c>
      <c r="D26" s="9" t="s">
        <v>17</v>
      </c>
      <c r="E26" s="106">
        <v>0.2</v>
      </c>
      <c r="F26" s="7">
        <f>1213.49/1000</f>
        <v>1.21349</v>
      </c>
      <c r="G26" s="104">
        <v>0</v>
      </c>
      <c r="H26" s="104">
        <v>0</v>
      </c>
      <c r="I26" s="9" t="str">
        <f t="shared" ref="I26:I31" si="5">D26</f>
        <v>Середовище культуральне Flushing Medium 5x60ml, паков</v>
      </c>
      <c r="J26" s="77">
        <f>F26-K26</f>
        <v>1.21349</v>
      </c>
      <c r="K26" s="54">
        <v>0</v>
      </c>
    </row>
    <row r="27" spans="1:19" ht="32.25" customHeight="1" x14ac:dyDescent="0.25">
      <c r="A27" s="338"/>
      <c r="B27" s="116">
        <v>0</v>
      </c>
      <c r="C27" s="7">
        <v>0.23</v>
      </c>
      <c r="D27" s="9" t="s">
        <v>18</v>
      </c>
      <c r="E27" s="106">
        <v>0.2</v>
      </c>
      <c r="F27" s="7">
        <f>1904.07/1000</f>
        <v>1.9040699999999999</v>
      </c>
      <c r="G27" s="104">
        <v>0</v>
      </c>
      <c r="H27" s="104">
        <v>0</v>
      </c>
      <c r="I27" s="9" t="str">
        <f t="shared" si="5"/>
        <v>Середовище культуральне ICSI Cumulase 5x0,5ml, паков</v>
      </c>
      <c r="J27" s="77">
        <f>F27-K27</f>
        <v>0.77407000000000004</v>
      </c>
      <c r="K27" s="54">
        <v>1.1299999999999999</v>
      </c>
    </row>
    <row r="28" spans="1:19" ht="32.25" customHeight="1" x14ac:dyDescent="0.25">
      <c r="A28" s="338"/>
      <c r="B28" s="116">
        <v>0</v>
      </c>
      <c r="C28" s="7">
        <v>5.7</v>
      </c>
      <c r="D28" s="9" t="s">
        <v>19</v>
      </c>
      <c r="E28" s="106">
        <v>1</v>
      </c>
      <c r="F28" s="7">
        <f>3151.78/1000</f>
        <v>3.15178</v>
      </c>
      <c r="G28" s="104">
        <v>0</v>
      </c>
      <c r="H28" s="104">
        <v>0</v>
      </c>
      <c r="I28" s="9" t="str">
        <f t="shared" si="5"/>
        <v>Середовище культуральне UTM Transfer Medium, with phenol red 10 ml, паков</v>
      </c>
      <c r="J28" s="77">
        <f t="shared" ref="J28:J31" si="6">F28-K28</f>
        <v>3.15178</v>
      </c>
      <c r="K28" s="54">
        <v>0</v>
      </c>
    </row>
    <row r="29" spans="1:19" ht="32.25" customHeight="1" x14ac:dyDescent="0.25">
      <c r="A29" s="338"/>
      <c r="B29" s="116">
        <v>0</v>
      </c>
      <c r="C29" s="7">
        <v>60.3</v>
      </c>
      <c r="D29" s="9" t="s">
        <v>20</v>
      </c>
      <c r="E29" s="106">
        <v>5</v>
      </c>
      <c r="F29" s="7">
        <f>5907.2/1000</f>
        <v>5.9071999999999996</v>
      </c>
      <c r="G29" s="104">
        <v>0</v>
      </c>
      <c r="H29" s="104">
        <v>0</v>
      </c>
      <c r="I29" s="9" t="str">
        <f t="shared" si="5"/>
        <v>Середовище культуральне ORIGIO Sequential Fert, 10 ml, паков</v>
      </c>
      <c r="J29" s="77">
        <f t="shared" si="6"/>
        <v>5.9071999999999996</v>
      </c>
      <c r="K29" s="54">
        <v>0</v>
      </c>
    </row>
    <row r="30" spans="1:19" ht="32.25" customHeight="1" x14ac:dyDescent="0.25">
      <c r="A30" s="338"/>
      <c r="B30" s="116"/>
      <c r="C30" s="7">
        <v>27.6</v>
      </c>
      <c r="D30" s="9" t="s">
        <v>21</v>
      </c>
      <c r="E30" s="106">
        <v>1</v>
      </c>
      <c r="F30" s="7"/>
      <c r="G30" s="104"/>
      <c r="H30" s="104"/>
      <c r="I30" s="9" t="s">
        <v>21</v>
      </c>
      <c r="J30" s="77"/>
      <c r="K30" s="54"/>
    </row>
    <row r="31" spans="1:19" ht="32.25" customHeight="1" x14ac:dyDescent="0.25">
      <c r="A31" s="338"/>
      <c r="B31" s="116">
        <v>0</v>
      </c>
      <c r="C31" s="7">
        <v>2.4</v>
      </c>
      <c r="D31" s="9" t="s">
        <v>21</v>
      </c>
      <c r="E31" s="106">
        <v>5</v>
      </c>
      <c r="F31" s="7">
        <f>10484.98/1000</f>
        <v>10.48498</v>
      </c>
      <c r="G31" s="104">
        <v>0</v>
      </c>
      <c r="H31" s="104">
        <v>0</v>
      </c>
      <c r="I31" s="9" t="str">
        <f t="shared" si="5"/>
        <v>Середовище культуральне SAGE 1-Step™ with Human Serum Albumin 10 ml, паков</v>
      </c>
      <c r="J31" s="77">
        <f t="shared" si="6"/>
        <v>10.48498</v>
      </c>
      <c r="K31" s="54">
        <v>0</v>
      </c>
    </row>
    <row r="32" spans="1:19" ht="41.25" customHeight="1" x14ac:dyDescent="0.25">
      <c r="A32" s="338"/>
      <c r="B32" s="442" t="s">
        <v>16</v>
      </c>
      <c r="C32" s="443"/>
      <c r="D32" s="443"/>
      <c r="E32" s="443"/>
      <c r="F32" s="31"/>
      <c r="G32" s="443" t="s">
        <v>16</v>
      </c>
      <c r="H32" s="443"/>
      <c r="I32" s="443"/>
      <c r="J32" s="135"/>
      <c r="K32" s="54">
        <f>SUM(K33:K39)</f>
        <v>11.38645</v>
      </c>
    </row>
    <row r="33" spans="1:19" s="17" customFormat="1" ht="36.75" customHeight="1" x14ac:dyDescent="0.25">
      <c r="A33" s="338"/>
      <c r="B33" s="116">
        <v>0</v>
      </c>
      <c r="C33" s="7">
        <v>15.9</v>
      </c>
      <c r="D33" s="16" t="s">
        <v>21</v>
      </c>
      <c r="E33" s="106">
        <v>3</v>
      </c>
      <c r="F33" s="7">
        <f>6314.17/1000</f>
        <v>6.3141699999999998</v>
      </c>
      <c r="G33" s="104">
        <v>0</v>
      </c>
      <c r="H33" s="104">
        <v>0</v>
      </c>
      <c r="I33" s="9" t="str">
        <f t="shared" ref="I33:I39" si="7">D33</f>
        <v>Середовище культуральне SAGE 1-Step™ with Human Serum Albumin 10 ml, паков</v>
      </c>
      <c r="J33" s="77">
        <f t="shared" ref="J33:J38" si="8">F33-K33</f>
        <v>6.3141699999999998</v>
      </c>
      <c r="K33" s="54">
        <v>0</v>
      </c>
      <c r="L33" s="18"/>
      <c r="M33" s="18"/>
      <c r="N33" s="18"/>
      <c r="O33" s="18"/>
      <c r="P33" s="18"/>
      <c r="Q33" s="18"/>
      <c r="R33" s="18"/>
      <c r="S33" s="18"/>
    </row>
    <row r="34" spans="1:19" s="17" customFormat="1" ht="36.75" customHeight="1" x14ac:dyDescent="0.25">
      <c r="A34" s="338"/>
      <c r="B34" s="116">
        <v>0</v>
      </c>
      <c r="C34" s="7">
        <v>8.1999999999999993</v>
      </c>
      <c r="D34" s="16" t="s">
        <v>20</v>
      </c>
      <c r="E34" s="106">
        <v>2</v>
      </c>
      <c r="F34" s="7">
        <v>13</v>
      </c>
      <c r="G34" s="104">
        <v>0</v>
      </c>
      <c r="H34" s="104">
        <v>0</v>
      </c>
      <c r="I34" s="9" t="str">
        <f t="shared" si="7"/>
        <v>Середовище культуральне ORIGIO Sequential Fert, 10 ml, паков</v>
      </c>
      <c r="J34" s="77">
        <f t="shared" si="8"/>
        <v>13</v>
      </c>
      <c r="K34" s="54">
        <v>0</v>
      </c>
      <c r="L34" s="18"/>
      <c r="M34" s="18"/>
      <c r="N34" s="18"/>
      <c r="O34" s="18"/>
      <c r="P34" s="18"/>
      <c r="Q34" s="18"/>
      <c r="R34" s="18"/>
      <c r="S34" s="18"/>
    </row>
    <row r="35" spans="1:19" s="17" customFormat="1" ht="36.75" customHeight="1" x14ac:dyDescent="0.25">
      <c r="A35" s="338"/>
      <c r="B35" s="116">
        <v>0</v>
      </c>
      <c r="C35" s="7">
        <v>65.2</v>
      </c>
      <c r="D35" s="16" t="s">
        <v>19</v>
      </c>
      <c r="E35" s="106">
        <v>1</v>
      </c>
      <c r="F35" s="7">
        <f>3163.39/1000</f>
        <v>3.1633899999999997</v>
      </c>
      <c r="G35" s="104">
        <v>0</v>
      </c>
      <c r="H35" s="104">
        <v>0</v>
      </c>
      <c r="I35" s="9" t="str">
        <f t="shared" si="7"/>
        <v>Середовище культуральне UTM Transfer Medium, with phenol red 10 ml, паков</v>
      </c>
      <c r="J35" s="77">
        <f t="shared" si="8"/>
        <v>3.1633899999999997</v>
      </c>
      <c r="K35" s="54">
        <v>0</v>
      </c>
      <c r="L35" s="18"/>
      <c r="M35" s="18"/>
      <c r="N35" s="18"/>
      <c r="O35" s="18"/>
      <c r="P35" s="18"/>
      <c r="Q35" s="18"/>
      <c r="R35" s="18"/>
      <c r="S35" s="18"/>
    </row>
    <row r="36" spans="1:19" s="17" customFormat="1" ht="36.75" customHeight="1" x14ac:dyDescent="0.25">
      <c r="A36" s="338"/>
      <c r="B36" s="116">
        <v>0</v>
      </c>
      <c r="C36" s="7">
        <v>7.8</v>
      </c>
      <c r="D36" s="16" t="s">
        <v>17</v>
      </c>
      <c r="E36" s="106">
        <v>0.2</v>
      </c>
      <c r="F36" s="7">
        <f>1217.96/1000</f>
        <v>1.2179599999999999</v>
      </c>
      <c r="G36" s="104">
        <v>0</v>
      </c>
      <c r="H36" s="104">
        <v>0</v>
      </c>
      <c r="I36" s="9" t="str">
        <f t="shared" si="7"/>
        <v>Середовище культуральне Flushing Medium 5x60ml, паков</v>
      </c>
      <c r="J36" s="77">
        <f t="shared" si="8"/>
        <v>1.2179599999999999</v>
      </c>
      <c r="K36" s="54">
        <v>0</v>
      </c>
      <c r="L36" s="18"/>
      <c r="M36" s="18"/>
      <c r="N36" s="18"/>
      <c r="O36" s="18"/>
      <c r="P36" s="18"/>
      <c r="Q36" s="18"/>
      <c r="R36" s="18"/>
      <c r="S36" s="18"/>
    </row>
    <row r="37" spans="1:19" s="17" customFormat="1" ht="36.75" customHeight="1" x14ac:dyDescent="0.25">
      <c r="A37" s="338"/>
      <c r="B37" s="116">
        <v>0</v>
      </c>
      <c r="C37" s="7">
        <v>42.6</v>
      </c>
      <c r="D37" s="16" t="s">
        <v>22</v>
      </c>
      <c r="E37" s="106">
        <v>1</v>
      </c>
      <c r="F37" s="7">
        <f>5219.7/1000</f>
        <v>5.2196999999999996</v>
      </c>
      <c r="G37" s="104">
        <v>0</v>
      </c>
      <c r="H37" s="104">
        <v>0</v>
      </c>
      <c r="I37" s="9" t="str">
        <f t="shared" si="7"/>
        <v>Середовище культуральне PVP 10% Ready-To-Use Solution 6x0.5 ml, паков</v>
      </c>
      <c r="J37" s="77">
        <f t="shared" si="8"/>
        <v>1.9699999999999385E-2</v>
      </c>
      <c r="K37" s="54">
        <v>5.2</v>
      </c>
      <c r="L37" s="18"/>
      <c r="M37" s="18"/>
      <c r="N37" s="18"/>
      <c r="O37" s="18"/>
      <c r="P37" s="18"/>
      <c r="Q37" s="18"/>
      <c r="R37" s="18"/>
      <c r="S37" s="18"/>
    </row>
    <row r="38" spans="1:19" s="17" customFormat="1" ht="49.5" customHeight="1" x14ac:dyDescent="0.25">
      <c r="A38" s="338"/>
      <c r="B38" s="116">
        <v>0</v>
      </c>
      <c r="C38" s="7">
        <v>13.3</v>
      </c>
      <c r="D38" s="16" t="s">
        <v>23</v>
      </c>
      <c r="E38" s="106">
        <v>0.16600000000000001</v>
      </c>
      <c r="F38" s="7">
        <f>1079.6/1000</f>
        <v>1.0795999999999999</v>
      </c>
      <c r="G38" s="104">
        <v>0</v>
      </c>
      <c r="H38" s="104">
        <v>0</v>
      </c>
      <c r="I38" s="9" t="str">
        <f t="shared" si="7"/>
        <v>Середовища культуральні Quinn`s Advantage Sperm Freezing Medium 6x12ml, паков</v>
      </c>
      <c r="J38" s="77">
        <f t="shared" si="8"/>
        <v>0.44959999999999989</v>
      </c>
      <c r="K38" s="54">
        <v>0.63</v>
      </c>
      <c r="L38" s="18"/>
      <c r="M38" s="18"/>
      <c r="N38" s="18"/>
      <c r="O38" s="18"/>
      <c r="P38" s="18"/>
      <c r="Q38" s="18"/>
      <c r="R38" s="18"/>
      <c r="S38" s="18"/>
    </row>
    <row r="39" spans="1:19" s="17" customFormat="1" ht="36.75" customHeight="1" x14ac:dyDescent="0.25">
      <c r="A39" s="338"/>
      <c r="B39" s="116">
        <v>0</v>
      </c>
      <c r="C39" s="7">
        <v>36.9</v>
      </c>
      <c r="D39" s="16" t="s">
        <v>24</v>
      </c>
      <c r="E39" s="106">
        <v>1</v>
      </c>
      <c r="F39" s="7">
        <f>5556.45/1000</f>
        <v>5.5564499999999999</v>
      </c>
      <c r="G39" s="104">
        <v>0</v>
      </c>
      <c r="H39" s="104">
        <v>0</v>
      </c>
      <c r="I39" s="9" t="str">
        <f t="shared" si="7"/>
        <v>STRIPPER® наконечник 1000µm, паков</v>
      </c>
      <c r="J39" s="77">
        <v>36.9</v>
      </c>
      <c r="K39" s="54">
        <f>F39</f>
        <v>5.5564499999999999</v>
      </c>
      <c r="L39" s="18"/>
      <c r="M39" s="18"/>
      <c r="N39" s="18"/>
      <c r="O39" s="18"/>
      <c r="P39" s="18"/>
      <c r="Q39" s="18"/>
      <c r="R39" s="18"/>
      <c r="S39" s="18"/>
    </row>
    <row r="40" spans="1:19" s="18" customFormat="1" ht="39" customHeight="1" x14ac:dyDescent="0.25">
      <c r="A40" s="338"/>
      <c r="B40" s="442" t="s">
        <v>16</v>
      </c>
      <c r="C40" s="443"/>
      <c r="D40" s="443"/>
      <c r="E40" s="443"/>
      <c r="F40" s="31"/>
      <c r="G40" s="443" t="s">
        <v>16</v>
      </c>
      <c r="H40" s="443"/>
      <c r="I40" s="443"/>
      <c r="J40" s="135"/>
      <c r="K40" s="54">
        <f>SUM(K41:K47)</f>
        <v>36.098289999999999</v>
      </c>
    </row>
    <row r="41" spans="1:19" s="18" customFormat="1" ht="46.5" customHeight="1" x14ac:dyDescent="0.25">
      <c r="A41" s="338"/>
      <c r="B41" s="116">
        <v>0</v>
      </c>
      <c r="C41" s="7">
        <f t="shared" ref="C41:C47" si="9">F40:F41</f>
        <v>4.9517899999999999</v>
      </c>
      <c r="D41" s="16" t="s">
        <v>19</v>
      </c>
      <c r="E41" s="107">
        <v>2</v>
      </c>
      <c r="F41" s="7">
        <f>4951.79/1000</f>
        <v>4.9517899999999999</v>
      </c>
      <c r="G41" s="104">
        <v>0</v>
      </c>
      <c r="H41" s="104">
        <v>0</v>
      </c>
      <c r="I41" s="9" t="str">
        <f t="shared" ref="I41:I47" si="10">D41</f>
        <v>Середовище культуральне UTM Transfer Medium, with phenol red 10 ml, паков</v>
      </c>
      <c r="J41" s="77">
        <f t="shared" ref="J41:J46" si="11">F41-K41</f>
        <v>1.8317899999999998</v>
      </c>
      <c r="K41" s="54">
        <v>3.12</v>
      </c>
    </row>
    <row r="42" spans="1:19" s="18" customFormat="1" ht="37.5" customHeight="1" x14ac:dyDescent="0.25">
      <c r="A42" s="338"/>
      <c r="B42" s="116">
        <v>0</v>
      </c>
      <c r="C42" s="7">
        <f t="shared" si="9"/>
        <v>2.8594200000000001</v>
      </c>
      <c r="D42" s="16" t="s">
        <v>17</v>
      </c>
      <c r="E42" s="107">
        <v>0.6</v>
      </c>
      <c r="F42" s="7">
        <f>2859.42/1000</f>
        <v>2.8594200000000001</v>
      </c>
      <c r="G42" s="104">
        <v>0</v>
      </c>
      <c r="H42" s="104">
        <v>0</v>
      </c>
      <c r="I42" s="9" t="str">
        <f t="shared" si="10"/>
        <v>Середовище культуральне Flushing Medium 5x60ml, паков</v>
      </c>
      <c r="J42" s="77">
        <f t="shared" si="11"/>
        <v>1.6694200000000001</v>
      </c>
      <c r="K42" s="54">
        <v>1.19</v>
      </c>
    </row>
    <row r="43" spans="1:19" s="18" customFormat="1" ht="37.5" customHeight="1" x14ac:dyDescent="0.25">
      <c r="A43" s="338"/>
      <c r="B43" s="116">
        <v>0</v>
      </c>
      <c r="C43" s="7">
        <f t="shared" si="9"/>
        <v>7.4269999999999996</v>
      </c>
      <c r="D43" s="16" t="s">
        <v>20</v>
      </c>
      <c r="E43" s="107">
        <v>8</v>
      </c>
      <c r="F43" s="7">
        <f>7427/1000</f>
        <v>7.4269999999999996</v>
      </c>
      <c r="G43" s="104">
        <v>0</v>
      </c>
      <c r="H43" s="104">
        <v>0</v>
      </c>
      <c r="I43" s="9" t="str">
        <f t="shared" si="10"/>
        <v>Середовище культуральне ORIGIO Sequential Fert, 10 ml, паков</v>
      </c>
      <c r="J43" s="77">
        <f t="shared" si="11"/>
        <v>7.4269999999999996</v>
      </c>
      <c r="K43" s="54">
        <v>0</v>
      </c>
    </row>
    <row r="44" spans="1:19" s="18" customFormat="1" ht="37.5" customHeight="1" x14ac:dyDescent="0.25">
      <c r="A44" s="338"/>
      <c r="B44" s="116">
        <v>0</v>
      </c>
      <c r="C44" s="7">
        <f t="shared" si="9"/>
        <v>8.0869599999999995</v>
      </c>
      <c r="D44" s="30" t="s">
        <v>25</v>
      </c>
      <c r="E44" s="107">
        <v>1</v>
      </c>
      <c r="F44" s="7">
        <f>8086.96/1000</f>
        <v>8.0869599999999995</v>
      </c>
      <c r="G44" s="104">
        <v>0</v>
      </c>
      <c r="H44" s="104">
        <v>0</v>
      </c>
      <c r="I44" s="9" t="str">
        <f t="shared" si="10"/>
        <v>ORIGIO Sperm Wash 10 x 10ml, паков</v>
      </c>
      <c r="J44" s="77">
        <f t="shared" si="11"/>
        <v>0</v>
      </c>
      <c r="K44" s="54">
        <f>F44</f>
        <v>8.0869599999999995</v>
      </c>
    </row>
    <row r="45" spans="1:19" s="18" customFormat="1" ht="51" customHeight="1" x14ac:dyDescent="0.25">
      <c r="A45" s="338"/>
      <c r="B45" s="116">
        <v>0</v>
      </c>
      <c r="C45" s="7">
        <f t="shared" si="9"/>
        <v>12.45215</v>
      </c>
      <c r="D45" s="16" t="s">
        <v>21</v>
      </c>
      <c r="E45" s="107">
        <v>8</v>
      </c>
      <c r="F45" s="7">
        <f>12452.15/1000</f>
        <v>12.45215</v>
      </c>
      <c r="G45" s="104">
        <v>0</v>
      </c>
      <c r="H45" s="104">
        <v>0</v>
      </c>
      <c r="I45" s="9" t="str">
        <f t="shared" si="10"/>
        <v>Середовище культуральне SAGE 1-Step™ with Human Serum Albumin 10 ml, паков</v>
      </c>
      <c r="J45" s="77">
        <f t="shared" si="11"/>
        <v>2.7721499999999999</v>
      </c>
      <c r="K45" s="54">
        <v>9.68</v>
      </c>
    </row>
    <row r="46" spans="1:19" s="18" customFormat="1" ht="48.75" customHeight="1" x14ac:dyDescent="0.25">
      <c r="A46" s="338"/>
      <c r="B46" s="116">
        <v>0</v>
      </c>
      <c r="C46" s="7">
        <f t="shared" si="9"/>
        <v>15.565160000000001</v>
      </c>
      <c r="D46" s="16" t="s">
        <v>26</v>
      </c>
      <c r="E46" s="107">
        <v>1</v>
      </c>
      <c r="F46" s="7">
        <f>15565.16/1000</f>
        <v>15.565160000000001</v>
      </c>
      <c r="G46" s="104">
        <v>0</v>
      </c>
      <c r="H46" s="104">
        <v>0</v>
      </c>
      <c r="I46" s="9" t="str">
        <f t="shared" si="10"/>
        <v>Середовища культуральні PureCeption 24-Determination By-Layer Kit 12 x 12 ml, паков</v>
      </c>
      <c r="J46" s="77">
        <f t="shared" si="11"/>
        <v>5.8951600000000006</v>
      </c>
      <c r="K46" s="54">
        <v>9.67</v>
      </c>
    </row>
    <row r="47" spans="1:19" s="18" customFormat="1" ht="37.5" customHeight="1" thickBot="1" x14ac:dyDescent="0.3">
      <c r="A47" s="378"/>
      <c r="B47" s="118">
        <v>0</v>
      </c>
      <c r="C47" s="19">
        <f t="shared" si="9"/>
        <v>4.3513299999999999</v>
      </c>
      <c r="D47" s="35" t="s">
        <v>24</v>
      </c>
      <c r="E47" s="150">
        <v>1</v>
      </c>
      <c r="F47" s="19">
        <f>4351.33/1000</f>
        <v>4.3513299999999999</v>
      </c>
      <c r="G47" s="113">
        <v>0</v>
      </c>
      <c r="H47" s="113">
        <v>0</v>
      </c>
      <c r="I47" s="21" t="str">
        <f t="shared" si="10"/>
        <v>STRIPPER® наконечник 1000µm, паков</v>
      </c>
      <c r="J47" s="79">
        <f>F47-K47</f>
        <v>0</v>
      </c>
      <c r="K47" s="53">
        <f>F47</f>
        <v>4.3513299999999999</v>
      </c>
    </row>
    <row r="48" spans="1:19" ht="40.5" customHeight="1" x14ac:dyDescent="0.25">
      <c r="A48" s="337" t="s">
        <v>154</v>
      </c>
      <c r="B48" s="446" t="s">
        <v>16</v>
      </c>
      <c r="C48" s="447"/>
      <c r="D48" s="447"/>
      <c r="E48" s="447"/>
      <c r="F48" s="15">
        <f>F49+F50</f>
        <v>13.103530000000001</v>
      </c>
      <c r="G48" s="447" t="s">
        <v>16</v>
      </c>
      <c r="H48" s="447"/>
      <c r="I48" s="447"/>
      <c r="J48" s="82">
        <f t="shared" ref="J48:J55" si="12">F48-K48</f>
        <v>0</v>
      </c>
      <c r="K48" s="57">
        <f>SUM(K49:K50)</f>
        <v>13.103530000000001</v>
      </c>
    </row>
    <row r="49" spans="1:18" ht="37.5" customHeight="1" x14ac:dyDescent="0.25">
      <c r="A49" s="338"/>
      <c r="B49" s="116">
        <v>0</v>
      </c>
      <c r="C49" s="7">
        <f>F39:F49</f>
        <v>8.4191200000000013</v>
      </c>
      <c r="D49" s="9" t="s">
        <v>27</v>
      </c>
      <c r="E49" s="106">
        <v>1</v>
      </c>
      <c r="F49" s="7">
        <f>8419.12/1000</f>
        <v>8.4191200000000013</v>
      </c>
      <c r="G49" s="104">
        <v>0</v>
      </c>
      <c r="H49" s="104">
        <v>0</v>
      </c>
      <c r="I49" s="9" t="str">
        <f t="shared" ref="I49:I50" si="13">D49</f>
        <v>205 Середовища для розморожування (14,4 мл), шт</v>
      </c>
      <c r="J49" s="77">
        <f t="shared" si="12"/>
        <v>0</v>
      </c>
      <c r="K49" s="54">
        <f>F49</f>
        <v>8.4191200000000013</v>
      </c>
    </row>
    <row r="50" spans="1:18" ht="43.5" customHeight="1" x14ac:dyDescent="0.25">
      <c r="A50" s="338"/>
      <c r="B50" s="116">
        <v>0</v>
      </c>
      <c r="C50" s="7">
        <f t="shared" ref="C50" si="14">F49:F50</f>
        <v>4.6844099999999997</v>
      </c>
      <c r="D50" s="9" t="s">
        <v>28</v>
      </c>
      <c r="E50" s="106">
        <v>1</v>
      </c>
      <c r="F50" s="7">
        <f>4684.41/1000</f>
        <v>4.6844099999999997</v>
      </c>
      <c r="G50" s="104">
        <v>0</v>
      </c>
      <c r="H50" s="104">
        <v>0</v>
      </c>
      <c r="I50" s="9" t="str">
        <f t="shared" si="13"/>
        <v>WP Пластикова чашка для вітрифікації (10 од/уп), паков</v>
      </c>
      <c r="J50" s="77">
        <f t="shared" si="12"/>
        <v>0</v>
      </c>
      <c r="K50" s="54">
        <f>F50</f>
        <v>4.6844099999999997</v>
      </c>
    </row>
    <row r="51" spans="1:18" ht="37.5" customHeight="1" x14ac:dyDescent="0.25">
      <c r="A51" s="338"/>
      <c r="B51" s="442" t="s">
        <v>16</v>
      </c>
      <c r="C51" s="443"/>
      <c r="D51" s="443"/>
      <c r="E51" s="443"/>
      <c r="F51" s="31">
        <f>F52+F53</f>
        <v>13.816140000000001</v>
      </c>
      <c r="G51" s="443" t="s">
        <v>16</v>
      </c>
      <c r="H51" s="443"/>
      <c r="I51" s="443"/>
      <c r="J51" s="77">
        <f t="shared" si="12"/>
        <v>0</v>
      </c>
      <c r="K51" s="54">
        <f>SUM(K52:K53)</f>
        <v>13.816140000000001</v>
      </c>
    </row>
    <row r="52" spans="1:18" ht="39.75" customHeight="1" x14ac:dyDescent="0.25">
      <c r="A52" s="338"/>
      <c r="B52" s="116">
        <v>0</v>
      </c>
      <c r="C52" s="7">
        <f>F50:F52</f>
        <v>5.8286300000000004</v>
      </c>
      <c r="D52" s="9" t="s">
        <v>29</v>
      </c>
      <c r="E52" s="106">
        <v>1</v>
      </c>
      <c r="F52" s="7">
        <f>5828.63/1000</f>
        <v>5.8286300000000004</v>
      </c>
      <c r="G52" s="104">
        <v>0</v>
      </c>
      <c r="H52" s="104">
        <v>0</v>
      </c>
      <c r="I52" s="9" t="str">
        <f t="shared" ref="I52:I53" si="15">D52</f>
        <v>SPD-30 Мікропіпетки для часткового розсічення зони пелюсіда, з кутом 30° (10 од/уп)</v>
      </c>
      <c r="J52" s="77">
        <f t="shared" si="12"/>
        <v>0</v>
      </c>
      <c r="K52" s="54">
        <f>F52</f>
        <v>5.8286300000000004</v>
      </c>
    </row>
    <row r="53" spans="1:18" ht="39.75" customHeight="1" x14ac:dyDescent="0.25">
      <c r="A53" s="338"/>
      <c r="B53" s="116">
        <v>0</v>
      </c>
      <c r="C53" s="7">
        <f t="shared" ref="C53" si="16">F52:F53</f>
        <v>7.9875100000000003</v>
      </c>
      <c r="D53" s="9" t="s">
        <v>30</v>
      </c>
      <c r="E53" s="106">
        <v>1</v>
      </c>
      <c r="F53" s="7">
        <f>7987.51/1000</f>
        <v>7.9875100000000003</v>
      </c>
      <c r="G53" s="104">
        <v>0</v>
      </c>
      <c r="H53" s="104">
        <v>0</v>
      </c>
      <c r="I53" s="9" t="str">
        <f t="shared" si="15"/>
        <v>SIC-50W-35 Інжекторні мікропіпетки для проведення ІКСІ ID:5,0 мм/35° (10 од/уп)</v>
      </c>
      <c r="J53" s="77">
        <f t="shared" si="12"/>
        <v>0</v>
      </c>
      <c r="K53" s="54">
        <f>F53</f>
        <v>7.9875100000000003</v>
      </c>
    </row>
    <row r="54" spans="1:18" ht="36" customHeight="1" x14ac:dyDescent="0.25">
      <c r="A54" s="338"/>
      <c r="B54" s="442" t="s">
        <v>16</v>
      </c>
      <c r="C54" s="443"/>
      <c r="D54" s="443"/>
      <c r="E54" s="443"/>
      <c r="F54" s="31">
        <f>F55+F56</f>
        <v>16.31775</v>
      </c>
      <c r="G54" s="443" t="s">
        <v>16</v>
      </c>
      <c r="H54" s="443"/>
      <c r="I54" s="443"/>
      <c r="J54" s="77">
        <f t="shared" si="12"/>
        <v>0</v>
      </c>
      <c r="K54" s="54">
        <f>SUM(K55:K56)</f>
        <v>16.31775</v>
      </c>
    </row>
    <row r="55" spans="1:18" s="18" customFormat="1" ht="54.75" customHeight="1" x14ac:dyDescent="0.3">
      <c r="A55" s="338"/>
      <c r="B55" s="116">
        <v>0</v>
      </c>
      <c r="C55" s="7">
        <f>F53:F55</f>
        <v>10.66662</v>
      </c>
      <c r="D55" s="9" t="s">
        <v>31</v>
      </c>
      <c r="E55" s="104">
        <v>10</v>
      </c>
      <c r="F55" s="7">
        <f>(1066.662/1000)*E55</f>
        <v>10.66662</v>
      </c>
      <c r="G55" s="104">
        <v>0</v>
      </c>
      <c r="H55" s="104">
        <v>0</v>
      </c>
      <c r="I55" s="9" t="str">
        <f t="shared" ref="I55:I56" si="17">D55</f>
        <v>K-JETS-7019 Вигнутий катетер для переносу ембріонів, трансферний катетер 2.8Fr-24cm та навігаційний катетер 6.6Fr-17.3cm, шт</v>
      </c>
      <c r="J55" s="77">
        <f t="shared" si="12"/>
        <v>0</v>
      </c>
      <c r="K55" s="54">
        <f>F55</f>
        <v>10.66662</v>
      </c>
      <c r="N55" s="59"/>
      <c r="O55" s="59"/>
      <c r="P55" s="59"/>
      <c r="Q55" s="59"/>
      <c r="R55" s="59"/>
    </row>
    <row r="56" spans="1:18" s="18" customFormat="1" ht="54.75" customHeight="1" x14ac:dyDescent="0.25">
      <c r="A56" s="338"/>
      <c r="B56" s="116">
        <v>0</v>
      </c>
      <c r="C56" s="7">
        <f t="shared" ref="C56" si="18">F55:F56</f>
        <v>5.6511300000000002</v>
      </c>
      <c r="D56" s="9" t="s">
        <v>32</v>
      </c>
      <c r="E56" s="104">
        <v>1</v>
      </c>
      <c r="F56" s="7">
        <f>5651.13/1000</f>
        <v>5.6511300000000002</v>
      </c>
      <c r="G56" s="104">
        <v>0</v>
      </c>
      <c r="H56" s="104">
        <v>0</v>
      </c>
      <c r="I56" s="9" t="str">
        <f t="shared" si="17"/>
        <v>K-HPIP-1035 Холдінгові мікропіпетки для проведення ІКСІ вн.діаметр 17µm зовнішній діаметр 80µm та кутом 35 градусів, 10 од. в упаковці, паков</v>
      </c>
      <c r="J56" s="77">
        <f>F56-K56</f>
        <v>0</v>
      </c>
      <c r="K56" s="54">
        <f>F56</f>
        <v>5.6511300000000002</v>
      </c>
    </row>
    <row r="57" spans="1:18" s="18" customFormat="1" ht="34.5" customHeight="1" x14ac:dyDescent="0.25">
      <c r="A57" s="338"/>
      <c r="B57" s="442" t="s">
        <v>16</v>
      </c>
      <c r="C57" s="443"/>
      <c r="D57" s="443"/>
      <c r="E57" s="443"/>
      <c r="F57" s="31">
        <f>F58</f>
        <v>0.21587999999999999</v>
      </c>
      <c r="G57" s="443" t="s">
        <v>16</v>
      </c>
      <c r="H57" s="443"/>
      <c r="I57" s="443"/>
      <c r="J57" s="135">
        <f>J58</f>
        <v>3.9879999999999999E-2</v>
      </c>
      <c r="K57" s="54">
        <f>SUM(K58)</f>
        <v>0.17599999999999999</v>
      </c>
    </row>
    <row r="58" spans="1:18" s="18" customFormat="1" ht="27.6" x14ac:dyDescent="0.3">
      <c r="A58" s="338"/>
      <c r="B58" s="116">
        <v>0</v>
      </c>
      <c r="C58" s="7">
        <f>F56:F58</f>
        <v>0.21587999999999999</v>
      </c>
      <c r="D58" s="9" t="s">
        <v>33</v>
      </c>
      <c r="E58" s="104">
        <v>10</v>
      </c>
      <c r="F58" s="7">
        <f>215.88/1000</f>
        <v>0.21587999999999999</v>
      </c>
      <c r="G58" s="104">
        <v>0</v>
      </c>
      <c r="H58" s="104">
        <v>0</v>
      </c>
      <c r="I58" s="9" t="str">
        <f t="shared" ref="I58:I73" si="19">D58</f>
        <v>OOPW-IC06 Oosafe 50 мм чашка, тонка стінка, необроблена поверхня, шт.</v>
      </c>
      <c r="J58" s="77">
        <f>F58-K58</f>
        <v>3.9879999999999999E-2</v>
      </c>
      <c r="K58" s="54">
        <v>0.17599999999999999</v>
      </c>
      <c r="N58" s="59"/>
      <c r="O58" s="59"/>
      <c r="P58" s="59"/>
      <c r="Q58" s="59"/>
      <c r="R58" s="59"/>
    </row>
    <row r="59" spans="1:18" s="18" customFormat="1" ht="42" customHeight="1" x14ac:dyDescent="0.25">
      <c r="A59" s="338"/>
      <c r="B59" s="442" t="s">
        <v>16</v>
      </c>
      <c r="C59" s="443"/>
      <c r="D59" s="443"/>
      <c r="E59" s="443"/>
      <c r="F59" s="31">
        <f>F60+F61+F62+F63+F64</f>
        <v>22.802759999999999</v>
      </c>
      <c r="G59" s="443" t="s">
        <v>16</v>
      </c>
      <c r="H59" s="443"/>
      <c r="I59" s="443"/>
      <c r="J59" s="135">
        <f>J60+J61+J62+J63+J64</f>
        <v>3.2427800000000016</v>
      </c>
      <c r="K59" s="54">
        <f>SUM(K60:K64)</f>
        <v>19.559979999999999</v>
      </c>
    </row>
    <row r="60" spans="1:18" s="18" customFormat="1" ht="27.6" x14ac:dyDescent="0.25">
      <c r="A60" s="338"/>
      <c r="B60" s="116">
        <v>0</v>
      </c>
      <c r="C60" s="7">
        <f>F58:F60</f>
        <v>3.1444200000000002</v>
      </c>
      <c r="D60" s="9" t="s">
        <v>19</v>
      </c>
      <c r="E60" s="106">
        <v>1</v>
      </c>
      <c r="F60" s="7">
        <f>3144.42/1000</f>
        <v>3.1444200000000002</v>
      </c>
      <c r="G60" s="104">
        <v>0</v>
      </c>
      <c r="H60" s="104">
        <v>0</v>
      </c>
      <c r="I60" s="9" t="str">
        <f t="shared" si="19"/>
        <v>Середовище культуральне UTM Transfer Medium, with phenol red 10 ml, паков</v>
      </c>
      <c r="J60" s="77">
        <f t="shared" ref="J60:J63" si="20">F60-K60</f>
        <v>0</v>
      </c>
      <c r="K60" s="54">
        <f>F60</f>
        <v>3.1444200000000002</v>
      </c>
    </row>
    <row r="61" spans="1:18" s="18" customFormat="1" ht="32.25" customHeight="1" x14ac:dyDescent="0.25">
      <c r="A61" s="338"/>
      <c r="B61" s="116">
        <v>0</v>
      </c>
      <c r="C61" s="7">
        <f t="shared" ref="C61:C73" si="21">F60:F61</f>
        <v>1.21065</v>
      </c>
      <c r="D61" s="9" t="s">
        <v>17</v>
      </c>
      <c r="E61" s="106">
        <v>0.2</v>
      </c>
      <c r="F61" s="7">
        <f>1210.65/1000</f>
        <v>1.21065</v>
      </c>
      <c r="G61" s="104">
        <v>0</v>
      </c>
      <c r="H61" s="104">
        <v>0</v>
      </c>
      <c r="I61" s="9" t="str">
        <f t="shared" si="19"/>
        <v>Середовище культуральне Flushing Medium 5x60ml, паков</v>
      </c>
      <c r="J61" s="77">
        <f t="shared" si="20"/>
        <v>0</v>
      </c>
      <c r="K61" s="54">
        <f>F61</f>
        <v>1.21065</v>
      </c>
    </row>
    <row r="62" spans="1:18" s="18" customFormat="1" ht="32.25" customHeight="1" x14ac:dyDescent="0.25">
      <c r="A62" s="338"/>
      <c r="B62" s="116">
        <v>0</v>
      </c>
      <c r="C62" s="7">
        <f t="shared" si="21"/>
        <v>1.8996199999999999</v>
      </c>
      <c r="D62" s="9" t="s">
        <v>18</v>
      </c>
      <c r="E62" s="106">
        <v>0.2</v>
      </c>
      <c r="F62" s="7">
        <f>1899.62/1000</f>
        <v>1.8996199999999999</v>
      </c>
      <c r="G62" s="104">
        <v>0</v>
      </c>
      <c r="H62" s="104">
        <v>0</v>
      </c>
      <c r="I62" s="9" t="str">
        <f t="shared" si="19"/>
        <v>Середовище культуральне ICSI Cumulase 5x0,5ml, паков</v>
      </c>
      <c r="J62" s="77">
        <f t="shared" si="20"/>
        <v>0</v>
      </c>
      <c r="K62" s="54">
        <f>F62</f>
        <v>1.8996199999999999</v>
      </c>
    </row>
    <row r="63" spans="1:18" s="18" customFormat="1" ht="32.25" customHeight="1" x14ac:dyDescent="0.25">
      <c r="A63" s="338"/>
      <c r="B63" s="116">
        <v>0</v>
      </c>
      <c r="C63" s="7">
        <f t="shared" si="21"/>
        <v>6.2762900000000004</v>
      </c>
      <c r="D63" s="9" t="s">
        <v>21</v>
      </c>
      <c r="E63" s="106">
        <v>3</v>
      </c>
      <c r="F63" s="7">
        <f>6276.29/1000</f>
        <v>6.2762900000000004</v>
      </c>
      <c r="G63" s="104">
        <v>0</v>
      </c>
      <c r="H63" s="104">
        <v>0</v>
      </c>
      <c r="I63" s="9" t="str">
        <f t="shared" si="19"/>
        <v>Середовище культуральне SAGE 1-Step™ with Human Serum Albumin 10 ml, паков</v>
      </c>
      <c r="J63" s="77">
        <f t="shared" si="20"/>
        <v>0</v>
      </c>
      <c r="K63" s="54">
        <f>F63</f>
        <v>6.2762900000000004</v>
      </c>
    </row>
    <row r="64" spans="1:18" s="18" customFormat="1" ht="32.25" customHeight="1" x14ac:dyDescent="0.25">
      <c r="A64" s="338"/>
      <c r="B64" s="116">
        <v>0</v>
      </c>
      <c r="C64" s="7">
        <f t="shared" si="21"/>
        <v>10.271780000000001</v>
      </c>
      <c r="D64" s="9" t="s">
        <v>20</v>
      </c>
      <c r="E64" s="106">
        <v>1</v>
      </c>
      <c r="F64" s="7">
        <f>10271.78/1000</f>
        <v>10.271780000000001</v>
      </c>
      <c r="G64" s="104">
        <v>0</v>
      </c>
      <c r="H64" s="104">
        <v>0</v>
      </c>
      <c r="I64" s="9" t="str">
        <f t="shared" si="19"/>
        <v>Середовище культуральне ORIGIO Sequential Fert, 10 ml, паков</v>
      </c>
      <c r="J64" s="77">
        <f>F64-K64</f>
        <v>3.2427800000000016</v>
      </c>
      <c r="K64" s="54">
        <v>7.0289999999999999</v>
      </c>
    </row>
    <row r="65" spans="1:19" s="18" customFormat="1" ht="44.25" customHeight="1" x14ac:dyDescent="0.25">
      <c r="A65" s="338"/>
      <c r="B65" s="442" t="s">
        <v>16</v>
      </c>
      <c r="C65" s="443"/>
      <c r="D65" s="443"/>
      <c r="E65" s="443"/>
      <c r="F65" s="31">
        <f>F66+F67</f>
        <v>22.30799</v>
      </c>
      <c r="G65" s="443" t="s">
        <v>16</v>
      </c>
      <c r="H65" s="443"/>
      <c r="I65" s="443"/>
      <c r="J65" s="135">
        <f t="shared" ref="J65:J71" si="22">F65-K65</f>
        <v>0</v>
      </c>
      <c r="K65" s="54">
        <f>SUM(K66:K67)</f>
        <v>22.30799</v>
      </c>
    </row>
    <row r="66" spans="1:19" s="18" customFormat="1" ht="32.25" customHeight="1" x14ac:dyDescent="0.25">
      <c r="A66" s="338"/>
      <c r="B66" s="116">
        <v>0</v>
      </c>
      <c r="C66" s="7">
        <f>F64:F66</f>
        <v>8.58</v>
      </c>
      <c r="D66" s="9" t="s">
        <v>27</v>
      </c>
      <c r="E66" s="8">
        <v>1</v>
      </c>
      <c r="F66" s="7">
        <f>8580/1000</f>
        <v>8.58</v>
      </c>
      <c r="G66" s="104">
        <v>0</v>
      </c>
      <c r="H66" s="104">
        <v>0</v>
      </c>
      <c r="I66" s="9" t="str">
        <f t="shared" si="19"/>
        <v>205 Середовища для розморожування (14,4 мл), шт</v>
      </c>
      <c r="J66" s="77">
        <f t="shared" si="22"/>
        <v>0</v>
      </c>
      <c r="K66" s="54">
        <f>F66</f>
        <v>8.58</v>
      </c>
    </row>
    <row r="67" spans="1:19" s="18" customFormat="1" ht="32.25" customHeight="1" x14ac:dyDescent="0.25">
      <c r="A67" s="338"/>
      <c r="B67" s="116">
        <v>0</v>
      </c>
      <c r="C67" s="7">
        <f t="shared" si="21"/>
        <v>13.72799</v>
      </c>
      <c r="D67" s="9" t="s">
        <v>34</v>
      </c>
      <c r="E67" s="8">
        <v>2</v>
      </c>
      <c r="F67" s="7">
        <f>13727.99/1000</f>
        <v>13.72799</v>
      </c>
      <c r="G67" s="104">
        <v>0</v>
      </c>
      <c r="H67" s="104">
        <v>0</v>
      </c>
      <c r="I67" s="9" t="str">
        <f t="shared" si="19"/>
        <v>CR Соломини для вітрифікації (заморожування) Cryotec (10 од/уп), паков</v>
      </c>
      <c r="J67" s="77">
        <f t="shared" si="22"/>
        <v>0</v>
      </c>
      <c r="K67" s="54">
        <f>F67</f>
        <v>13.72799</v>
      </c>
    </row>
    <row r="68" spans="1:19" s="18" customFormat="1" ht="33" customHeight="1" x14ac:dyDescent="0.25">
      <c r="A68" s="338"/>
      <c r="B68" s="442" t="s">
        <v>16</v>
      </c>
      <c r="C68" s="443"/>
      <c r="D68" s="443"/>
      <c r="E68" s="443"/>
      <c r="F68" s="31">
        <f>F69</f>
        <v>7.92</v>
      </c>
      <c r="G68" s="443" t="s">
        <v>16</v>
      </c>
      <c r="H68" s="443"/>
      <c r="I68" s="443"/>
      <c r="J68" s="135">
        <f t="shared" si="22"/>
        <v>0</v>
      </c>
      <c r="K68" s="54">
        <f>SUM(K69)</f>
        <v>7.92</v>
      </c>
    </row>
    <row r="69" spans="1:19" s="18" customFormat="1" ht="46.8" x14ac:dyDescent="0.25">
      <c r="A69" s="338"/>
      <c r="B69" s="116">
        <v>0</v>
      </c>
      <c r="C69" s="7">
        <f>F67:F69</f>
        <v>7.92</v>
      </c>
      <c r="D69" s="16" t="s">
        <v>35</v>
      </c>
      <c r="E69" s="108">
        <v>1</v>
      </c>
      <c r="F69" s="7">
        <f>7920/1000</f>
        <v>7.92</v>
      </c>
      <c r="G69" s="104">
        <v>0</v>
      </c>
      <c r="H69" s="104">
        <v>0</v>
      </c>
      <c r="I69" s="9" t="str">
        <f t="shared" si="19"/>
        <v>SIC-50W-35 Інжекторні мікропіпетки для проведення ІКСІ ID:5,0 мм/35° (10 од/уп)</v>
      </c>
      <c r="J69" s="77">
        <f t="shared" si="22"/>
        <v>0</v>
      </c>
      <c r="K69" s="54">
        <f>F69</f>
        <v>7.92</v>
      </c>
    </row>
    <row r="70" spans="1:19" s="18" customFormat="1" ht="33" customHeight="1" x14ac:dyDescent="0.25">
      <c r="A70" s="338"/>
      <c r="B70" s="442" t="s">
        <v>16</v>
      </c>
      <c r="C70" s="443"/>
      <c r="D70" s="443"/>
      <c r="E70" s="443"/>
      <c r="F70" s="31">
        <f>F71+F72+F73</f>
        <v>39.693490000000004</v>
      </c>
      <c r="G70" s="443" t="s">
        <v>16</v>
      </c>
      <c r="H70" s="443"/>
      <c r="I70" s="443"/>
      <c r="J70" s="135">
        <f t="shared" si="22"/>
        <v>0</v>
      </c>
      <c r="K70" s="54">
        <f>SUM(K71:K73)</f>
        <v>39.693490000000004</v>
      </c>
    </row>
    <row r="71" spans="1:19" ht="52.5" customHeight="1" x14ac:dyDescent="0.25">
      <c r="A71" s="338"/>
      <c r="B71" s="116">
        <v>0</v>
      </c>
      <c r="C71" s="7">
        <f>F69:F71</f>
        <v>8.1177899999999994</v>
      </c>
      <c r="D71" s="16" t="s">
        <v>36</v>
      </c>
      <c r="E71" s="108">
        <v>1</v>
      </c>
      <c r="F71" s="7">
        <f>8117.79/1000</f>
        <v>8.1177899999999994</v>
      </c>
      <c r="G71" s="104">
        <v>0</v>
      </c>
      <c r="H71" s="104">
        <v>0</v>
      </c>
      <c r="I71" s="9" t="str">
        <f t="shared" si="19"/>
        <v>K-FPIP-1300-10BS-5 Піпетки для денудації 300 мікрон 5 туб по 10 піпеток (50од./уп.), паков</v>
      </c>
      <c r="J71" s="77">
        <f t="shared" si="22"/>
        <v>0</v>
      </c>
      <c r="K71" s="54">
        <f>F71</f>
        <v>8.1177899999999994</v>
      </c>
    </row>
    <row r="72" spans="1:19" ht="52.5" customHeight="1" x14ac:dyDescent="0.3">
      <c r="A72" s="338"/>
      <c r="B72" s="116">
        <v>0</v>
      </c>
      <c r="C72" s="7">
        <f t="shared" si="21"/>
        <v>10.38114</v>
      </c>
      <c r="D72" s="16" t="s">
        <v>31</v>
      </c>
      <c r="E72" s="108">
        <v>10</v>
      </c>
      <c r="F72" s="7">
        <f>10381.14/1000</f>
        <v>10.38114</v>
      </c>
      <c r="G72" s="104">
        <v>0</v>
      </c>
      <c r="H72" s="104">
        <v>0</v>
      </c>
      <c r="I72" s="9" t="str">
        <f t="shared" si="19"/>
        <v>K-JETS-7019 Вигнутий катетер для переносу ембріонів, трансферний катетер 2.8Fr-24cm та навігаційний катетер 6.6Fr-17.3cm, шт</v>
      </c>
      <c r="J72" s="77">
        <f>F72-K72</f>
        <v>0</v>
      </c>
      <c r="K72" s="54">
        <f>F72</f>
        <v>10.38114</v>
      </c>
      <c r="N72" s="59"/>
      <c r="O72" s="59"/>
      <c r="P72" s="59"/>
      <c r="Q72" s="59"/>
      <c r="R72" s="59"/>
    </row>
    <row r="73" spans="1:19" ht="52.5" customHeight="1" thickBot="1" x14ac:dyDescent="0.3">
      <c r="A73" s="378"/>
      <c r="B73" s="118">
        <v>0</v>
      </c>
      <c r="C73" s="19">
        <f t="shared" si="21"/>
        <v>21.194560000000003</v>
      </c>
      <c r="D73" s="20" t="s">
        <v>37</v>
      </c>
      <c r="E73" s="109">
        <v>20</v>
      </c>
      <c r="F73" s="19">
        <f>21194.56/1000</f>
        <v>21.194560000000003</v>
      </c>
      <c r="G73" s="113">
        <v>0</v>
      </c>
      <c r="H73" s="113">
        <v>0</v>
      </c>
      <c r="I73" s="21" t="str">
        <f t="shared" si="19"/>
        <v>K-OSN-1730-B-90 Однопросвітна голка для забору ооцитів 17g 30cm з ЕСНО типом, аспіраційна лінія 90см, шт.</v>
      </c>
      <c r="J73" s="79">
        <f>F73-K73</f>
        <v>0</v>
      </c>
      <c r="K73" s="53">
        <f>F73</f>
        <v>21.194560000000003</v>
      </c>
    </row>
    <row r="74" spans="1:19" s="6" customFormat="1" ht="39" customHeight="1" x14ac:dyDescent="0.3">
      <c r="A74" s="337" t="s">
        <v>154</v>
      </c>
      <c r="B74" s="367" t="s">
        <v>38</v>
      </c>
      <c r="C74" s="368"/>
      <c r="D74" s="368"/>
      <c r="E74" s="368"/>
      <c r="F74" s="22">
        <f>F75+F76</f>
        <v>5.9976000000000003</v>
      </c>
      <c r="G74" s="368" t="s">
        <v>38</v>
      </c>
      <c r="H74" s="368"/>
      <c r="I74" s="368"/>
      <c r="J74" s="80">
        <f>J75+J76</f>
        <v>5.9976000000000003</v>
      </c>
      <c r="K74" s="57">
        <f>SUM(K75:K76)</f>
        <v>0</v>
      </c>
      <c r="L74" s="59"/>
      <c r="M74" s="59"/>
      <c r="N74" s="18"/>
      <c r="O74" s="18"/>
      <c r="P74" s="18"/>
      <c r="Q74" s="18"/>
      <c r="R74" s="18"/>
      <c r="S74" s="59"/>
    </row>
    <row r="75" spans="1:19" ht="30" customHeight="1" x14ac:dyDescent="0.25">
      <c r="A75" s="338"/>
      <c r="B75" s="116">
        <v>0</v>
      </c>
      <c r="C75" s="7">
        <f t="shared" ref="C75:C76" si="23">F74:F75</f>
        <v>2.9988000000000001</v>
      </c>
      <c r="D75" s="16" t="s">
        <v>39</v>
      </c>
      <c r="E75" s="108">
        <v>170</v>
      </c>
      <c r="F75" s="7">
        <f>2998.8/1000</f>
        <v>2.9988000000000001</v>
      </c>
      <c r="G75" s="104">
        <v>0</v>
      </c>
      <c r="H75" s="104">
        <v>0</v>
      </c>
      <c r="I75" s="9" t="str">
        <f t="shared" ref="I75:I76" si="24">D75</f>
        <v>Батон нарізний молочний</v>
      </c>
      <c r="J75" s="77">
        <f t="shared" ref="J75:J76" si="25">F75</f>
        <v>2.9988000000000001</v>
      </c>
      <c r="K75" s="54">
        <v>0</v>
      </c>
      <c r="N75" s="61"/>
      <c r="O75" s="61"/>
      <c r="P75" s="61"/>
      <c r="Q75" s="61"/>
      <c r="R75" s="61"/>
    </row>
    <row r="76" spans="1:19" ht="30" customHeight="1" thickBot="1" x14ac:dyDescent="0.3">
      <c r="A76" s="338"/>
      <c r="B76" s="118">
        <v>0</v>
      </c>
      <c r="C76" s="19">
        <f t="shared" si="23"/>
        <v>2.9988000000000001</v>
      </c>
      <c r="D76" s="20" t="s">
        <v>40</v>
      </c>
      <c r="E76" s="109">
        <v>170</v>
      </c>
      <c r="F76" s="19">
        <f>2998.8/1000</f>
        <v>2.9988000000000001</v>
      </c>
      <c r="G76" s="113">
        <v>0</v>
      </c>
      <c r="H76" s="113">
        <v>0</v>
      </c>
      <c r="I76" s="21" t="str">
        <f t="shared" si="24"/>
        <v>Хліб "Гусарик"</v>
      </c>
      <c r="J76" s="79">
        <f t="shared" si="25"/>
        <v>2.9988000000000001</v>
      </c>
      <c r="K76" s="53">
        <v>0</v>
      </c>
    </row>
    <row r="77" spans="1:19" s="6" customFormat="1" ht="40.5" customHeight="1" x14ac:dyDescent="0.3">
      <c r="A77" s="338"/>
      <c r="B77" s="444" t="s">
        <v>41</v>
      </c>
      <c r="C77" s="445"/>
      <c r="D77" s="445"/>
      <c r="E77" s="110"/>
      <c r="F77" s="36">
        <f>F78+F79+F80+F81+F82+F83+F84+F85+F86+F87+F88+F90+F89</f>
        <v>67.34899999999999</v>
      </c>
      <c r="G77" s="445" t="s">
        <v>41</v>
      </c>
      <c r="H77" s="445"/>
      <c r="I77" s="445"/>
      <c r="J77" s="93">
        <f>J78+J79+J80+J81+J82+J83+J84+J85+J86+J87+J88+J90+J89</f>
        <v>67.34899999999999</v>
      </c>
      <c r="K77" s="86">
        <v>0</v>
      </c>
      <c r="L77" s="59"/>
      <c r="M77" s="60"/>
      <c r="N77" s="18"/>
      <c r="O77" s="18"/>
      <c r="P77" s="18"/>
      <c r="Q77" s="18"/>
      <c r="R77" s="18"/>
      <c r="S77" s="59"/>
    </row>
    <row r="78" spans="1:19" ht="39.75" customHeight="1" x14ac:dyDescent="0.25">
      <c r="A78" s="338"/>
      <c r="B78" s="116">
        <v>0</v>
      </c>
      <c r="C78" s="7">
        <f t="shared" ref="C78:C93" si="26">F77:F78</f>
        <v>8.2319999999999993</v>
      </c>
      <c r="D78" s="9" t="s">
        <v>42</v>
      </c>
      <c r="E78" s="104">
        <v>1</v>
      </c>
      <c r="F78" s="7">
        <f>8232/1000</f>
        <v>8.2319999999999993</v>
      </c>
      <c r="G78" s="104">
        <v>0</v>
      </c>
      <c r="H78" s="104">
        <v>0</v>
      </c>
      <c r="I78" s="9" t="str">
        <f t="shared" ref="I78:I93" si="27">D78</f>
        <v>Поточний ремонт автомобіля Opel COMBO 1,4</v>
      </c>
      <c r="J78" s="77">
        <f t="shared" ref="J78:J93" si="28">F78</f>
        <v>8.2319999999999993</v>
      </c>
      <c r="K78" s="54">
        <v>0</v>
      </c>
    </row>
    <row r="79" spans="1:19" ht="39.75" customHeight="1" x14ac:dyDescent="0.3">
      <c r="A79" s="338"/>
      <c r="B79" s="116">
        <v>0</v>
      </c>
      <c r="C79" s="7">
        <f t="shared" si="26"/>
        <v>0.63600000000000001</v>
      </c>
      <c r="D79" s="9" t="s">
        <v>43</v>
      </c>
      <c r="E79" s="104">
        <v>1</v>
      </c>
      <c r="F79" s="7">
        <f>636/1000</f>
        <v>0.63600000000000001</v>
      </c>
      <c r="G79" s="104">
        <v>0</v>
      </c>
      <c r="H79" s="104">
        <v>0</v>
      </c>
      <c r="I79" s="9" t="str">
        <f t="shared" si="27"/>
        <v>Послуга з опломбування вузла обліку</v>
      </c>
      <c r="J79" s="77">
        <f t="shared" si="28"/>
        <v>0.63600000000000001</v>
      </c>
      <c r="K79" s="54">
        <v>0</v>
      </c>
      <c r="N79" s="59"/>
      <c r="O79" s="59"/>
      <c r="P79" s="59"/>
      <c r="Q79" s="59"/>
      <c r="R79" s="59"/>
    </row>
    <row r="80" spans="1:19" ht="39.75" customHeight="1" x14ac:dyDescent="0.3">
      <c r="A80" s="338"/>
      <c r="B80" s="116">
        <v>0</v>
      </c>
      <c r="C80" s="7">
        <f t="shared" si="26"/>
        <v>2.016</v>
      </c>
      <c r="D80" s="9" t="s">
        <v>44</v>
      </c>
      <c r="E80" s="104">
        <v>1</v>
      </c>
      <c r="F80" s="7">
        <f>2016/1000</f>
        <v>2.016</v>
      </c>
      <c r="G80" s="104">
        <v>0</v>
      </c>
      <c r="H80" s="104">
        <v>0</v>
      </c>
      <c r="I80" s="9" t="str">
        <f t="shared" si="27"/>
        <v>Послуга програмного забеспечення HELSI., 1 послуга за 01.23</v>
      </c>
      <c r="J80" s="77">
        <f t="shared" si="28"/>
        <v>2.016</v>
      </c>
      <c r="K80" s="54">
        <v>0</v>
      </c>
      <c r="N80" s="59"/>
      <c r="O80" s="59"/>
      <c r="P80" s="59"/>
      <c r="Q80" s="59"/>
      <c r="R80" s="59"/>
    </row>
    <row r="81" spans="1:19" ht="39.75" customHeight="1" x14ac:dyDescent="0.3">
      <c r="A81" s="338"/>
      <c r="B81" s="116">
        <v>0</v>
      </c>
      <c r="C81" s="7">
        <f t="shared" si="26"/>
        <v>0.69299999999999995</v>
      </c>
      <c r="D81" s="9" t="s">
        <v>45</v>
      </c>
      <c r="E81" s="104">
        <v>1</v>
      </c>
      <c r="F81" s="7">
        <f>693/1000</f>
        <v>0.69299999999999995</v>
      </c>
      <c r="G81" s="104">
        <v>0</v>
      </c>
      <c r="H81" s="104">
        <v>0</v>
      </c>
      <c r="I81" s="9" t="str">
        <f t="shared" si="27"/>
        <v>Послуги шиномонтажу</v>
      </c>
      <c r="J81" s="77">
        <f t="shared" si="28"/>
        <v>0.69299999999999995</v>
      </c>
      <c r="K81" s="54">
        <v>0</v>
      </c>
      <c r="N81" s="59"/>
      <c r="O81" s="59"/>
      <c r="P81" s="59"/>
      <c r="Q81" s="59"/>
      <c r="R81" s="59"/>
    </row>
    <row r="82" spans="1:19" ht="39.75" customHeight="1" x14ac:dyDescent="0.3">
      <c r="A82" s="338"/>
      <c r="B82" s="116">
        <v>0</v>
      </c>
      <c r="C82" s="7">
        <f t="shared" si="26"/>
        <v>1.619</v>
      </c>
      <c r="D82" s="9" t="s">
        <v>46</v>
      </c>
      <c r="E82" s="104">
        <v>1</v>
      </c>
      <c r="F82" s="7">
        <f>1619/1000</f>
        <v>1.619</v>
      </c>
      <c r="G82" s="104">
        <v>0</v>
      </c>
      <c r="H82" s="104">
        <v>0</v>
      </c>
      <c r="I82" s="9" t="str">
        <f t="shared" si="27"/>
        <v>Страховий платіж згідно Полісу обов'язковогострахування</v>
      </c>
      <c r="J82" s="77">
        <f t="shared" si="28"/>
        <v>1.619</v>
      </c>
      <c r="K82" s="54">
        <v>0</v>
      </c>
      <c r="N82" s="59"/>
      <c r="O82" s="59"/>
      <c r="P82" s="59"/>
      <c r="Q82" s="59"/>
      <c r="R82" s="59"/>
    </row>
    <row r="83" spans="1:19" ht="39.75" customHeight="1" x14ac:dyDescent="0.25">
      <c r="A83" s="338"/>
      <c r="B83" s="116">
        <v>0</v>
      </c>
      <c r="C83" s="7">
        <f t="shared" si="26"/>
        <v>1.85</v>
      </c>
      <c r="D83" s="9" t="s">
        <v>47</v>
      </c>
      <c r="E83" s="104">
        <v>1</v>
      </c>
      <c r="F83" s="7">
        <f>1850/1000</f>
        <v>1.85</v>
      </c>
      <c r="G83" s="104">
        <v>0</v>
      </c>
      <c r="H83" s="104">
        <v>0</v>
      </c>
      <c r="I83" s="9" t="str">
        <f t="shared" si="27"/>
        <v>Технічне обслуговування та ремонт транспорту</v>
      </c>
      <c r="J83" s="77">
        <f t="shared" si="28"/>
        <v>1.85</v>
      </c>
      <c r="K83" s="54">
        <v>0</v>
      </c>
    </row>
    <row r="84" spans="1:19" ht="39.75" customHeight="1" x14ac:dyDescent="0.25">
      <c r="A84" s="338"/>
      <c r="B84" s="116">
        <v>0</v>
      </c>
      <c r="C84" s="7">
        <f t="shared" si="26"/>
        <v>3.6520000000000001</v>
      </c>
      <c r="D84" s="9" t="s">
        <v>47</v>
      </c>
      <c r="E84" s="104">
        <v>1</v>
      </c>
      <c r="F84" s="7">
        <f>3652/1000</f>
        <v>3.6520000000000001</v>
      </c>
      <c r="G84" s="104">
        <v>0</v>
      </c>
      <c r="H84" s="104">
        <v>0</v>
      </c>
      <c r="I84" s="9" t="str">
        <f t="shared" si="27"/>
        <v>Технічне обслуговування та ремонт транспорту</v>
      </c>
      <c r="J84" s="77">
        <f t="shared" si="28"/>
        <v>3.6520000000000001</v>
      </c>
      <c r="K84" s="54">
        <v>0</v>
      </c>
    </row>
    <row r="85" spans="1:19" ht="39.75" customHeight="1" x14ac:dyDescent="0.25">
      <c r="A85" s="338"/>
      <c r="B85" s="116">
        <v>0</v>
      </c>
      <c r="C85" s="7">
        <f t="shared" si="26"/>
        <v>5</v>
      </c>
      <c r="D85" s="9" t="s">
        <v>48</v>
      </c>
      <c r="E85" s="104">
        <v>1</v>
      </c>
      <c r="F85" s="7">
        <f>5000/1000</f>
        <v>5</v>
      </c>
      <c r="G85" s="104">
        <v>0</v>
      </c>
      <c r="H85" s="104">
        <v>0</v>
      </c>
      <c r="I85" s="9" t="str">
        <f t="shared" si="27"/>
        <v>Інженерні послуги (екологічна експертиза)</v>
      </c>
      <c r="J85" s="77">
        <f t="shared" si="28"/>
        <v>5</v>
      </c>
      <c r="K85" s="54">
        <v>0</v>
      </c>
    </row>
    <row r="86" spans="1:19" ht="39.75" customHeight="1" x14ac:dyDescent="0.25">
      <c r="A86" s="338"/>
      <c r="B86" s="116">
        <v>0</v>
      </c>
      <c r="C86" s="7">
        <f t="shared" si="26"/>
        <v>6.89</v>
      </c>
      <c r="D86" s="9" t="s">
        <v>49</v>
      </c>
      <c r="E86" s="104">
        <v>1</v>
      </c>
      <c r="F86" s="7">
        <f>6890/1000</f>
        <v>6.89</v>
      </c>
      <c r="G86" s="104">
        <v>0</v>
      </c>
      <c r="H86" s="104">
        <v>0</v>
      </c>
      <c r="I86" s="9" t="str">
        <f t="shared" si="27"/>
        <v xml:space="preserve">Послуга з ремонту блоку живлення інкубатора </v>
      </c>
      <c r="J86" s="77">
        <f t="shared" si="28"/>
        <v>6.89</v>
      </c>
      <c r="K86" s="54">
        <v>0</v>
      </c>
    </row>
    <row r="87" spans="1:19" ht="39.75" customHeight="1" x14ac:dyDescent="0.25">
      <c r="A87" s="338"/>
      <c r="B87" s="116">
        <v>0</v>
      </c>
      <c r="C87" s="7">
        <f t="shared" si="26"/>
        <v>8</v>
      </c>
      <c r="D87" s="9" t="s">
        <v>50</v>
      </c>
      <c r="E87" s="104">
        <v>1</v>
      </c>
      <c r="F87" s="7">
        <f>8000/1000</f>
        <v>8</v>
      </c>
      <c r="G87" s="104">
        <v>0</v>
      </c>
      <c r="H87" s="104">
        <v>0</v>
      </c>
      <c r="I87" s="9" t="str">
        <f t="shared" si="27"/>
        <v>Послуги з обслуговування мережі інтернет</v>
      </c>
      <c r="J87" s="77">
        <f t="shared" si="28"/>
        <v>8</v>
      </c>
      <c r="K87" s="54">
        <v>0</v>
      </c>
    </row>
    <row r="88" spans="1:19" ht="39.75" customHeight="1" x14ac:dyDescent="0.25">
      <c r="A88" s="338"/>
      <c r="B88" s="116">
        <v>0</v>
      </c>
      <c r="C88" s="7">
        <f t="shared" si="26"/>
        <v>19.991</v>
      </c>
      <c r="D88" s="9" t="s">
        <v>51</v>
      </c>
      <c r="E88" s="104">
        <v>1</v>
      </c>
      <c r="F88" s="7">
        <f>19991/1000</f>
        <v>19.991</v>
      </c>
      <c r="G88" s="104">
        <v>0</v>
      </c>
      <c r="H88" s="104">
        <v>0</v>
      </c>
      <c r="I88" s="9" t="str">
        <f t="shared" si="27"/>
        <v>Послуги з ремонту та технічного обслуговування медицинського та хірургічного обладнання</v>
      </c>
      <c r="J88" s="77">
        <f t="shared" si="28"/>
        <v>19.991</v>
      </c>
      <c r="K88" s="54">
        <v>0</v>
      </c>
    </row>
    <row r="89" spans="1:19" ht="39.75" customHeight="1" x14ac:dyDescent="0.25">
      <c r="A89" s="338"/>
      <c r="B89" s="117">
        <v>0</v>
      </c>
      <c r="C89" s="12">
        <f t="shared" si="26"/>
        <v>6.22</v>
      </c>
      <c r="D89" s="24" t="s">
        <v>52</v>
      </c>
      <c r="E89" s="111">
        <v>1</v>
      </c>
      <c r="F89" s="25">
        <f>6220/1000</f>
        <v>6.22</v>
      </c>
      <c r="G89" s="104">
        <v>0</v>
      </c>
      <c r="H89" s="104">
        <v>0</v>
      </c>
      <c r="I89" s="9" t="str">
        <f t="shared" si="27"/>
        <v>Поточний ремонт автомобіля  OPEL Combo</v>
      </c>
      <c r="J89" s="77">
        <f t="shared" si="28"/>
        <v>6.22</v>
      </c>
      <c r="K89" s="54">
        <v>0</v>
      </c>
    </row>
    <row r="90" spans="1:19" ht="39.75" customHeight="1" thickBot="1" x14ac:dyDescent="0.3">
      <c r="A90" s="338"/>
      <c r="B90" s="117">
        <v>0</v>
      </c>
      <c r="C90" s="12">
        <f t="shared" ref="C90" si="29">F88:F90</f>
        <v>2.5499999999999998</v>
      </c>
      <c r="D90" s="24" t="s">
        <v>53</v>
      </c>
      <c r="E90" s="111">
        <v>1</v>
      </c>
      <c r="F90" s="12">
        <f>2550/1000</f>
        <v>2.5499999999999998</v>
      </c>
      <c r="G90" s="105">
        <v>0</v>
      </c>
      <c r="H90" s="105">
        <v>0</v>
      </c>
      <c r="I90" s="13" t="str">
        <f t="shared" si="27"/>
        <v xml:space="preserve">Оплата послуг  з надання доступу до онлайн сервісів Helsi  за лютий </v>
      </c>
      <c r="J90" s="81">
        <f t="shared" si="28"/>
        <v>2.5499999999999998</v>
      </c>
      <c r="K90" s="87">
        <v>0</v>
      </c>
    </row>
    <row r="91" spans="1:19" s="6" customFormat="1" ht="51" customHeight="1" x14ac:dyDescent="0.3">
      <c r="A91" s="338"/>
      <c r="B91" s="437" t="s">
        <v>54</v>
      </c>
      <c r="C91" s="438"/>
      <c r="D91" s="438"/>
      <c r="E91" s="439"/>
      <c r="F91" s="22">
        <f>F92+F93</f>
        <v>13.399999999999999</v>
      </c>
      <c r="G91" s="412" t="s">
        <v>54</v>
      </c>
      <c r="H91" s="413"/>
      <c r="I91" s="414"/>
      <c r="J91" s="82">
        <f>J92+J93</f>
        <v>13.399999999999999</v>
      </c>
      <c r="K91" s="57">
        <v>0</v>
      </c>
      <c r="L91" s="59"/>
      <c r="M91" s="59"/>
      <c r="N91" s="18"/>
      <c r="O91" s="18"/>
      <c r="P91" s="18"/>
      <c r="Q91" s="18"/>
      <c r="R91" s="18"/>
      <c r="S91" s="59"/>
    </row>
    <row r="92" spans="1:19" ht="29.25" customHeight="1" x14ac:dyDescent="0.25">
      <c r="A92" s="338"/>
      <c r="B92" s="116">
        <v>0</v>
      </c>
      <c r="C92" s="7">
        <f>F88:F92</f>
        <v>9.6</v>
      </c>
      <c r="D92" s="9" t="s">
        <v>55</v>
      </c>
      <c r="E92" s="104">
        <v>1</v>
      </c>
      <c r="F92" s="7">
        <f>9600/1000</f>
        <v>9.6</v>
      </c>
      <c r="G92" s="104">
        <v>0</v>
      </c>
      <c r="H92" s="104">
        <v>0</v>
      </c>
      <c r="I92" s="9" t="str">
        <f t="shared" si="27"/>
        <v>Послуга з навчання з охорони праці</v>
      </c>
      <c r="J92" s="77">
        <f t="shared" si="28"/>
        <v>9.6</v>
      </c>
      <c r="K92" s="54">
        <v>0</v>
      </c>
    </row>
    <row r="93" spans="1:19" ht="29.25" customHeight="1" thickBot="1" x14ac:dyDescent="0.3">
      <c r="A93" s="338"/>
      <c r="B93" s="117">
        <v>0</v>
      </c>
      <c r="C93" s="12">
        <f t="shared" si="26"/>
        <v>3.8</v>
      </c>
      <c r="D93" s="13" t="s">
        <v>55</v>
      </c>
      <c r="E93" s="105">
        <v>1</v>
      </c>
      <c r="F93" s="12">
        <f>3800/1000</f>
        <v>3.8</v>
      </c>
      <c r="G93" s="105">
        <v>0</v>
      </c>
      <c r="H93" s="105">
        <v>0</v>
      </c>
      <c r="I93" s="13" t="str">
        <f t="shared" si="27"/>
        <v>Послуга з навчання з охорони праці</v>
      </c>
      <c r="J93" s="81">
        <f t="shared" si="28"/>
        <v>3.8</v>
      </c>
      <c r="K93" s="87">
        <v>0</v>
      </c>
    </row>
    <row r="94" spans="1:19" s="26" customFormat="1" ht="38.25" customHeight="1" x14ac:dyDescent="0.25">
      <c r="A94" s="338"/>
      <c r="B94" s="367" t="s">
        <v>56</v>
      </c>
      <c r="C94" s="368"/>
      <c r="D94" s="368"/>
      <c r="E94" s="368"/>
      <c r="F94" s="23">
        <f>F95+F96+F97</f>
        <v>65.882350000000002</v>
      </c>
      <c r="G94" s="368" t="s">
        <v>56</v>
      </c>
      <c r="H94" s="368"/>
      <c r="I94" s="368"/>
      <c r="J94" s="82">
        <f>J95+J96+J97</f>
        <v>65.882350000000002</v>
      </c>
      <c r="K94" s="57">
        <v>0</v>
      </c>
      <c r="L94" s="61"/>
      <c r="M94" s="61"/>
      <c r="N94" s="18"/>
      <c r="O94" s="18"/>
      <c r="P94" s="18"/>
      <c r="Q94" s="18"/>
      <c r="R94" s="18"/>
      <c r="S94" s="61"/>
    </row>
    <row r="95" spans="1:19" ht="28.5" customHeight="1" x14ac:dyDescent="0.25">
      <c r="A95" s="338"/>
      <c r="B95" s="116">
        <v>0</v>
      </c>
      <c r="C95" s="7">
        <f t="shared" ref="C95:C97" si="30">F94:F95</f>
        <v>31.221349999999997</v>
      </c>
      <c r="D95" s="16" t="s">
        <v>57</v>
      </c>
      <c r="E95" s="112">
        <v>1</v>
      </c>
      <c r="F95" s="27">
        <f>31221.35/1000</f>
        <v>31.221349999999997</v>
      </c>
      <c r="G95" s="104">
        <v>0</v>
      </c>
      <c r="H95" s="104">
        <v>0</v>
      </c>
      <c r="I95" s="9" t="str">
        <f t="shared" ref="I95:I97" si="31">D95</f>
        <v>Модернізація силової проводки всередині будівлі</v>
      </c>
      <c r="J95" s="77">
        <f t="shared" ref="J95:J97" si="32">F95</f>
        <v>31.221349999999997</v>
      </c>
      <c r="K95" s="54">
        <v>0</v>
      </c>
    </row>
    <row r="96" spans="1:19" ht="28.5" customHeight="1" x14ac:dyDescent="0.25">
      <c r="A96" s="338"/>
      <c r="B96" s="116">
        <v>0</v>
      </c>
      <c r="C96" s="7">
        <f t="shared" si="30"/>
        <v>12.661</v>
      </c>
      <c r="D96" s="16" t="s">
        <v>58</v>
      </c>
      <c r="E96" s="112">
        <v>1</v>
      </c>
      <c r="F96" s="27">
        <f>12661/1000</f>
        <v>12.661</v>
      </c>
      <c r="G96" s="104">
        <v>0</v>
      </c>
      <c r="H96" s="104">
        <v>0</v>
      </c>
      <c r="I96" s="9" t="str">
        <f t="shared" si="31"/>
        <v>Дисектор біполярний</v>
      </c>
      <c r="J96" s="77">
        <f t="shared" si="32"/>
        <v>12.661</v>
      </c>
      <c r="K96" s="54">
        <v>0</v>
      </c>
    </row>
    <row r="97" spans="1:19" ht="28.5" customHeight="1" thickBot="1" x14ac:dyDescent="0.3">
      <c r="A97" s="378"/>
      <c r="B97" s="118">
        <v>0</v>
      </c>
      <c r="C97" s="19">
        <f t="shared" si="30"/>
        <v>22</v>
      </c>
      <c r="D97" s="35" t="s">
        <v>59</v>
      </c>
      <c r="E97" s="143">
        <v>1</v>
      </c>
      <c r="F97" s="88">
        <f>22000/1000</f>
        <v>22</v>
      </c>
      <c r="G97" s="113">
        <v>0</v>
      </c>
      <c r="H97" s="113">
        <v>0</v>
      </c>
      <c r="I97" s="21" t="str">
        <f t="shared" si="31"/>
        <v>Ноутбук ASUS 515</v>
      </c>
      <c r="J97" s="79">
        <f t="shared" si="32"/>
        <v>22</v>
      </c>
      <c r="K97" s="53">
        <v>0</v>
      </c>
    </row>
    <row r="98" spans="1:19" s="6" customFormat="1" ht="26.25" customHeight="1" x14ac:dyDescent="0.3">
      <c r="A98" s="376" t="s">
        <v>60</v>
      </c>
      <c r="B98" s="367" t="s">
        <v>61</v>
      </c>
      <c r="C98" s="368"/>
      <c r="D98" s="368"/>
      <c r="E98" s="368"/>
      <c r="F98" s="29">
        <f>F99+F100+F101</f>
        <v>5.0000000000000001E-3</v>
      </c>
      <c r="G98" s="368" t="s">
        <v>61</v>
      </c>
      <c r="H98" s="368"/>
      <c r="I98" s="368"/>
      <c r="J98" s="155">
        <f>J99+J100+J101</f>
        <v>5.0000000000000001E-3</v>
      </c>
      <c r="K98" s="57">
        <v>0</v>
      </c>
      <c r="L98" s="59"/>
      <c r="M98" s="62"/>
      <c r="N98" s="18"/>
      <c r="O98" s="18"/>
      <c r="P98" s="18"/>
      <c r="Q98" s="18"/>
      <c r="R98" s="18"/>
      <c r="S98" s="59"/>
    </row>
    <row r="99" spans="1:19" s="6" customFormat="1" ht="25.5" customHeight="1" x14ac:dyDescent="0.3">
      <c r="A99" s="377"/>
      <c r="B99" s="116">
        <v>0</v>
      </c>
      <c r="C99" s="11">
        <f t="shared" ref="C99:C101" si="33">F98:F99</f>
        <v>1E-3</v>
      </c>
      <c r="D99" s="30" t="s">
        <v>62</v>
      </c>
      <c r="E99" s="104">
        <v>1</v>
      </c>
      <c r="F99" s="11">
        <f>1/1000</f>
        <v>1E-3</v>
      </c>
      <c r="G99" s="104">
        <v>0</v>
      </c>
      <c r="H99" s="104">
        <v>0</v>
      </c>
      <c r="I99" s="30" t="str">
        <f t="shared" ref="I99:I101" si="34">D99</f>
        <v>Монітор пацієнта М-50</v>
      </c>
      <c r="J99" s="65">
        <f t="shared" ref="J99:J101" si="35">F99</f>
        <v>1E-3</v>
      </c>
      <c r="K99" s="54">
        <v>0</v>
      </c>
      <c r="L99" s="59"/>
      <c r="M99" s="59"/>
      <c r="N99" s="18"/>
      <c r="O99" s="18"/>
      <c r="P99" s="18"/>
      <c r="Q99" s="18"/>
      <c r="R99" s="18"/>
      <c r="S99" s="59"/>
    </row>
    <row r="100" spans="1:19" s="6" customFormat="1" ht="25.5" customHeight="1" x14ac:dyDescent="0.3">
      <c r="A100" s="377"/>
      <c r="B100" s="116">
        <v>0</v>
      </c>
      <c r="C100" s="11">
        <f t="shared" si="33"/>
        <v>1E-3</v>
      </c>
      <c r="D100" s="30" t="s">
        <v>63</v>
      </c>
      <c r="E100" s="104">
        <v>1</v>
      </c>
      <c r="F100" s="11">
        <f>1/1000</f>
        <v>1E-3</v>
      </c>
      <c r="G100" s="104">
        <v>0</v>
      </c>
      <c r="H100" s="104">
        <v>0</v>
      </c>
      <c r="I100" s="30" t="str">
        <f t="shared" si="34"/>
        <v>Монітор пацієнта М-40</v>
      </c>
      <c r="J100" s="65">
        <f t="shared" si="35"/>
        <v>1E-3</v>
      </c>
      <c r="K100" s="54">
        <v>0</v>
      </c>
      <c r="L100" s="59"/>
      <c r="M100" s="59"/>
      <c r="N100" s="18"/>
      <c r="O100" s="18"/>
      <c r="P100" s="18"/>
      <c r="Q100" s="18"/>
      <c r="R100" s="18"/>
      <c r="S100" s="59"/>
    </row>
    <row r="101" spans="1:19" s="6" customFormat="1" ht="25.5" customHeight="1" thickBot="1" x14ac:dyDescent="0.35">
      <c r="A101" s="377"/>
      <c r="B101" s="118">
        <v>0</v>
      </c>
      <c r="C101" s="92">
        <f t="shared" si="33"/>
        <v>3.0000000000000001E-3</v>
      </c>
      <c r="D101" s="91" t="s">
        <v>64</v>
      </c>
      <c r="E101" s="113">
        <v>3</v>
      </c>
      <c r="F101" s="92">
        <f>3/1000</f>
        <v>3.0000000000000001E-3</v>
      </c>
      <c r="G101" s="113">
        <v>0</v>
      </c>
      <c r="H101" s="113">
        <v>0</v>
      </c>
      <c r="I101" s="91" t="str">
        <f t="shared" si="34"/>
        <v>Інфузійний об'ємний насос</v>
      </c>
      <c r="J101" s="94">
        <f t="shared" si="35"/>
        <v>3.0000000000000001E-3</v>
      </c>
      <c r="K101" s="53">
        <v>0</v>
      </c>
      <c r="L101" s="59"/>
      <c r="M101" s="59"/>
      <c r="N101" s="18"/>
      <c r="O101" s="18"/>
      <c r="P101" s="18"/>
      <c r="Q101" s="18"/>
      <c r="R101" s="18"/>
      <c r="S101" s="59"/>
    </row>
    <row r="102" spans="1:19" ht="25.5" customHeight="1" x14ac:dyDescent="0.25">
      <c r="A102" s="377"/>
      <c r="B102" s="410" t="s">
        <v>15</v>
      </c>
      <c r="C102" s="411"/>
      <c r="D102" s="411"/>
      <c r="E102" s="411"/>
      <c r="F102" s="89">
        <f>F103+F126</f>
        <v>228.970144</v>
      </c>
      <c r="G102" s="411" t="s">
        <v>15</v>
      </c>
      <c r="H102" s="411"/>
      <c r="I102" s="411"/>
      <c r="J102" s="95">
        <f>J103+J126</f>
        <v>42.009600000000013</v>
      </c>
      <c r="K102" s="90">
        <f>K103+K126</f>
        <v>186.96054399999997</v>
      </c>
    </row>
    <row r="103" spans="1:19" s="18" customFormat="1" ht="34.5" customHeight="1" x14ac:dyDescent="0.25">
      <c r="A103" s="377"/>
      <c r="B103" s="440" t="s">
        <v>16</v>
      </c>
      <c r="C103" s="441"/>
      <c r="D103" s="441"/>
      <c r="E103" s="441"/>
      <c r="F103" s="31">
        <f>F104+F105+F106+F107+F108+F109+F110+F111+F112+F113+F114+F115+F116+F117+F118+F119+F120+F121+F122+F123+F124+F125</f>
        <v>81.553599999999975</v>
      </c>
      <c r="G103" s="441" t="s">
        <v>16</v>
      </c>
      <c r="H103" s="441"/>
      <c r="I103" s="441"/>
      <c r="J103" s="83">
        <f>J104+J105+J106+J107+J108+J109+J110+J111+J112+J113+J114+J115+J116+J117+J118+J119+J120+J121+J122+J123+J124+J125</f>
        <v>2.9030000000000031</v>
      </c>
      <c r="K103" s="54">
        <f>SUM(K104:K125)</f>
        <v>78.650599999999997</v>
      </c>
    </row>
    <row r="104" spans="1:19" s="18" customFormat="1" ht="34.5" customHeight="1" x14ac:dyDescent="0.25">
      <c r="A104" s="377"/>
      <c r="B104" s="116">
        <v>0</v>
      </c>
      <c r="C104" s="7">
        <f>F102:F104</f>
        <v>0.2</v>
      </c>
      <c r="D104" s="16" t="s">
        <v>65</v>
      </c>
      <c r="E104" s="38">
        <v>200</v>
      </c>
      <c r="F104" s="7">
        <f>200/1000</f>
        <v>0.2</v>
      </c>
      <c r="G104" s="104">
        <v>0</v>
      </c>
      <c r="H104" s="104">
        <v>0</v>
      </c>
      <c r="I104" s="9" t="str">
        <f t="shared" ref="I104:I125" si="36">D104</f>
        <v>Окскарбазепін 600 мг, табл.</v>
      </c>
      <c r="J104" s="69">
        <f t="shared" ref="J104:J164" si="37">F104-K104</f>
        <v>0</v>
      </c>
      <c r="K104" s="54">
        <v>0.2</v>
      </c>
    </row>
    <row r="105" spans="1:19" s="18" customFormat="1" ht="34.5" customHeight="1" x14ac:dyDescent="0.25">
      <c r="A105" s="377"/>
      <c r="B105" s="116">
        <v>0</v>
      </c>
      <c r="C105" s="7">
        <f t="shared" ref="C105:C125" si="38">F104:F105</f>
        <v>0.06</v>
      </c>
      <c r="D105" s="16" t="s">
        <v>66</v>
      </c>
      <c r="E105" s="38">
        <v>60</v>
      </c>
      <c r="F105" s="7">
        <f>60/1000</f>
        <v>0.06</v>
      </c>
      <c r="G105" s="104">
        <v>0</v>
      </c>
      <c r="H105" s="104">
        <v>0</v>
      </c>
      <c r="I105" s="9" t="str">
        <f t="shared" si="36"/>
        <v>Ібупрофен 20 мг/мл 200мл, флакон</v>
      </c>
      <c r="J105" s="69">
        <f t="shared" si="37"/>
        <v>4.9999999999999996E-2</v>
      </c>
      <c r="K105" s="54">
        <v>0.01</v>
      </c>
    </row>
    <row r="106" spans="1:19" s="18" customFormat="1" ht="34.5" customHeight="1" x14ac:dyDescent="0.25">
      <c r="A106" s="377"/>
      <c r="B106" s="116">
        <v>0</v>
      </c>
      <c r="C106" s="7">
        <f t="shared" si="38"/>
        <v>4.8000000000000001E-2</v>
      </c>
      <c r="D106" s="16" t="s">
        <v>67</v>
      </c>
      <c r="E106" s="38">
        <v>48</v>
      </c>
      <c r="F106" s="11">
        <f>48/1000</f>
        <v>4.8000000000000001E-2</v>
      </c>
      <c r="G106" s="104">
        <v>0</v>
      </c>
      <c r="H106" s="104">
        <v>0</v>
      </c>
      <c r="I106" s="9" t="str">
        <f t="shared" si="36"/>
        <v>Дексаметазон 1мл, амп.</v>
      </c>
      <c r="J106" s="69">
        <f t="shared" si="37"/>
        <v>4.8000000000000001E-2</v>
      </c>
      <c r="K106" s="54">
        <v>0</v>
      </c>
    </row>
    <row r="107" spans="1:19" s="18" customFormat="1" ht="52.5" customHeight="1" x14ac:dyDescent="0.25">
      <c r="A107" s="377"/>
      <c r="B107" s="116">
        <v>0</v>
      </c>
      <c r="C107" s="11">
        <f t="shared" si="38"/>
        <v>7.0000000000000001E-3</v>
      </c>
      <c r="D107" s="16" t="s">
        <v>68</v>
      </c>
      <c r="E107" s="38">
        <v>7</v>
      </c>
      <c r="F107" s="11">
        <f>7/1000</f>
        <v>7.0000000000000001E-3</v>
      </c>
      <c r="G107" s="104">
        <v>0</v>
      </c>
      <c r="H107" s="104">
        <v>0</v>
      </c>
      <c r="I107" s="9" t="str">
        <f t="shared" si="36"/>
        <v>Витратні матеріали/ Pipette micro tips 2x10x96 100-1000 мкл, п/а (кінцевик блакитний 100-1000 мкл), короб</v>
      </c>
      <c r="J107" s="65">
        <f>F107-K107</f>
        <v>0</v>
      </c>
      <c r="K107" s="66">
        <f>F107</f>
        <v>7.0000000000000001E-3</v>
      </c>
    </row>
    <row r="108" spans="1:19" s="18" customFormat="1" ht="52.5" customHeight="1" x14ac:dyDescent="0.25">
      <c r="A108" s="377"/>
      <c r="B108" s="116">
        <v>0</v>
      </c>
      <c r="C108" s="11">
        <f t="shared" si="38"/>
        <v>0.01</v>
      </c>
      <c r="D108" s="16" t="s">
        <v>69</v>
      </c>
      <c r="E108" s="38">
        <v>10</v>
      </c>
      <c r="F108" s="11">
        <f>10/1000</f>
        <v>0.01</v>
      </c>
      <c r="G108" s="104">
        <v>0</v>
      </c>
      <c r="H108" s="104">
        <v>0</v>
      </c>
      <c r="I108" s="9" t="str">
        <f t="shared" si="36"/>
        <v>Набір медикаментів та витратних матеріалів / RHKIT8 EMERGENCY REPRODUCTIVE HEALTH (1 комплект – 4 коробки) MPL00001298, п/а, компл</v>
      </c>
      <c r="J108" s="65">
        <f t="shared" si="37"/>
        <v>1.0000000000000009E-3</v>
      </c>
      <c r="K108" s="66">
        <v>8.9999999999999993E-3</v>
      </c>
    </row>
    <row r="109" spans="1:19" s="18" customFormat="1" ht="52.5" customHeight="1" x14ac:dyDescent="0.25">
      <c r="A109" s="377"/>
      <c r="B109" s="116">
        <v>0</v>
      </c>
      <c r="C109" s="11">
        <f t="shared" si="38"/>
        <v>6.0000000000000001E-3</v>
      </c>
      <c r="D109" s="16" t="s">
        <v>70</v>
      </c>
      <c r="E109" s="38">
        <v>6</v>
      </c>
      <c r="F109" s="11">
        <f>6/1000</f>
        <v>6.0000000000000001E-3</v>
      </c>
      <c r="G109" s="104">
        <v>0</v>
      </c>
      <c r="H109" s="104">
        <v>0</v>
      </c>
      <c r="I109" s="9" t="str">
        <f t="shared" si="36"/>
        <v>Набір медикаментів та витратних матеріалів / RHKIT4 EMERGENCY REPRODUCTIVE HEALTH (1 комплект – 1 коробка) MPL00001264, п/а, компл</v>
      </c>
      <c r="J109" s="65">
        <f t="shared" si="37"/>
        <v>1E-3</v>
      </c>
      <c r="K109" s="66">
        <v>5.0000000000000001E-3</v>
      </c>
    </row>
    <row r="110" spans="1:19" s="18" customFormat="1" ht="52.5" customHeight="1" x14ac:dyDescent="0.25">
      <c r="A110" s="377"/>
      <c r="B110" s="116">
        <v>0</v>
      </c>
      <c r="C110" s="11">
        <f t="shared" si="38"/>
        <v>1.4E-2</v>
      </c>
      <c r="D110" s="16" t="s">
        <v>71</v>
      </c>
      <c r="E110" s="38">
        <v>14</v>
      </c>
      <c r="F110" s="11">
        <f>14/1000</f>
        <v>1.4E-2</v>
      </c>
      <c r="G110" s="104">
        <v>0</v>
      </c>
      <c r="H110" s="104">
        <v>0</v>
      </c>
      <c r="I110" s="9" t="str">
        <f t="shared" si="36"/>
        <v>Набір медикаментів та витратних матеріалів / RHKIT5 EMERGENCY REPRODUCTIVE HEALTH (1 комплект – 2 коробки) MPL00001682, п/а, компл</v>
      </c>
      <c r="J110" s="65">
        <f t="shared" si="37"/>
        <v>1.0000000000000009E-3</v>
      </c>
      <c r="K110" s="66">
        <v>1.2999999999999999E-2</v>
      </c>
    </row>
    <row r="111" spans="1:19" s="18" customFormat="1" ht="52.5" customHeight="1" x14ac:dyDescent="0.25">
      <c r="A111" s="377"/>
      <c r="B111" s="116">
        <v>0</v>
      </c>
      <c r="C111" s="11">
        <f t="shared" si="38"/>
        <v>0.01</v>
      </c>
      <c r="D111" s="16" t="s">
        <v>72</v>
      </c>
      <c r="E111" s="38">
        <v>10</v>
      </c>
      <c r="F111" s="11">
        <f>10/1000</f>
        <v>0.01</v>
      </c>
      <c r="G111" s="104">
        <v>0</v>
      </c>
      <c r="H111" s="104">
        <v>0</v>
      </c>
      <c r="I111" s="9" t="str">
        <f t="shared" si="36"/>
        <v>Набір медикаментів та витратних матеріалів / RHKIT6В EMERGENCY REPRODUCTIVE HEALTH (1 комплект – 6 коробок) MPL00001251, п/а, компл</v>
      </c>
      <c r="J111" s="65">
        <f t="shared" si="37"/>
        <v>1.0000000000000009E-3</v>
      </c>
      <c r="K111" s="66">
        <v>8.9999999999999993E-3</v>
      </c>
    </row>
    <row r="112" spans="1:19" s="18" customFormat="1" ht="52.5" customHeight="1" x14ac:dyDescent="0.25">
      <c r="A112" s="377"/>
      <c r="B112" s="116">
        <v>0</v>
      </c>
      <c r="C112" s="7">
        <f t="shared" si="38"/>
        <v>0.34139999999999998</v>
      </c>
      <c r="D112" s="16" t="s">
        <v>73</v>
      </c>
      <c r="E112" s="38">
        <v>30</v>
      </c>
      <c r="F112" s="7">
        <f>341.4/1000</f>
        <v>0.34139999999999998</v>
      </c>
      <c r="G112" s="104">
        <v>0</v>
      </c>
      <c r="H112" s="104">
        <v>0</v>
      </c>
      <c r="I112" s="9" t="str">
        <f t="shared" si="36"/>
        <v>Полівітаміни з іншими мінералами, включаючи комбінації /15g gran., шт.</v>
      </c>
      <c r="J112" s="69">
        <f t="shared" si="37"/>
        <v>0</v>
      </c>
      <c r="K112" s="67">
        <f>F112</f>
        <v>0.34139999999999998</v>
      </c>
    </row>
    <row r="113" spans="1:11" s="18" customFormat="1" ht="52.5" customHeight="1" x14ac:dyDescent="0.25">
      <c r="A113" s="377"/>
      <c r="B113" s="116">
        <v>0</v>
      </c>
      <c r="C113" s="7">
        <f t="shared" si="38"/>
        <v>1.9572000000000001</v>
      </c>
      <c r="D113" s="16" t="s">
        <v>74</v>
      </c>
      <c r="E113" s="38">
        <v>210</v>
      </c>
      <c r="F113" s="7">
        <f>1957.2/1000</f>
        <v>1.9572000000000001</v>
      </c>
      <c r="G113" s="104">
        <v>0</v>
      </c>
      <c r="H113" s="104">
        <v>0</v>
      </c>
      <c r="I113" s="9" t="str">
        <f t="shared" si="36"/>
        <v>Полівітаміни з іншими мінералами, включаючи комбінації /2g granulat, шт.</v>
      </c>
      <c r="J113" s="69">
        <f t="shared" si="37"/>
        <v>0</v>
      </c>
      <c r="K113" s="67">
        <f>F113</f>
        <v>1.9572000000000001</v>
      </c>
    </row>
    <row r="114" spans="1:11" s="18" customFormat="1" ht="52.5" customHeight="1" x14ac:dyDescent="0.25">
      <c r="A114" s="377"/>
      <c r="B114" s="116">
        <v>0</v>
      </c>
      <c r="C114" s="7">
        <f t="shared" si="38"/>
        <v>71.944000000000003</v>
      </c>
      <c r="D114" s="16" t="s">
        <v>75</v>
      </c>
      <c r="E114" s="38">
        <v>400</v>
      </c>
      <c r="F114" s="7">
        <f>71944/1000</f>
        <v>71.944000000000003</v>
      </c>
      <c r="G114" s="104">
        <v>0</v>
      </c>
      <c r="H114" s="104">
        <v>0</v>
      </c>
      <c r="I114" s="9" t="str">
        <f t="shared" si="36"/>
        <v>Електроліти в комбінації з іншими препаратами / Волюлайт 6% 500 мл, флак.</v>
      </c>
      <c r="J114" s="69">
        <f t="shared" si="37"/>
        <v>1.9740000000000038</v>
      </c>
      <c r="K114" s="54">
        <v>69.97</v>
      </c>
    </row>
    <row r="115" spans="1:11" s="18" customFormat="1" ht="25.5" customHeight="1" x14ac:dyDescent="0.25">
      <c r="A115" s="377"/>
      <c r="B115" s="116">
        <v>0</v>
      </c>
      <c r="C115" s="7">
        <f t="shared" si="38"/>
        <v>0.81200000000000006</v>
      </c>
      <c r="D115" s="16" t="s">
        <v>76</v>
      </c>
      <c r="E115" s="38">
        <v>280</v>
      </c>
      <c r="F115" s="7">
        <f>812/1000</f>
        <v>0.81200000000000006</v>
      </c>
      <c r="G115" s="104">
        <v>0</v>
      </c>
      <c r="H115" s="104">
        <v>0</v>
      </c>
      <c r="I115" s="9" t="str">
        <f t="shared" si="36"/>
        <v>Вода для ін'єкцій 5мл, амп.</v>
      </c>
      <c r="J115" s="69">
        <f t="shared" si="37"/>
        <v>2.200000000000002E-2</v>
      </c>
      <c r="K115" s="54">
        <v>0.79</v>
      </c>
    </row>
    <row r="116" spans="1:11" s="18" customFormat="1" ht="25.5" customHeight="1" x14ac:dyDescent="0.25">
      <c r="A116" s="377"/>
      <c r="B116" s="116">
        <v>0</v>
      </c>
      <c r="C116" s="7">
        <f t="shared" si="38"/>
        <v>0.5</v>
      </c>
      <c r="D116" s="16" t="s">
        <v>77</v>
      </c>
      <c r="E116" s="38">
        <v>500</v>
      </c>
      <c r="F116" s="7">
        <f>500/1000</f>
        <v>0.5</v>
      </c>
      <c r="G116" s="104">
        <v>0</v>
      </c>
      <c r="H116" s="104">
        <v>0</v>
      </c>
      <c r="I116" s="9" t="str">
        <f t="shared" si="36"/>
        <v>Моксифлоксацин / Авелокс ® таблетки п/о 400мг, табл.</v>
      </c>
      <c r="J116" s="69">
        <f t="shared" si="37"/>
        <v>0</v>
      </c>
      <c r="K116" s="68">
        <v>0.5</v>
      </c>
    </row>
    <row r="117" spans="1:11" s="18" customFormat="1" ht="35.25" customHeight="1" x14ac:dyDescent="0.25">
      <c r="A117" s="377"/>
      <c r="B117" s="116">
        <v>0</v>
      </c>
      <c r="C117" s="7">
        <f t="shared" si="38"/>
        <v>0.2</v>
      </c>
      <c r="D117" s="16" t="s">
        <v>78</v>
      </c>
      <c r="E117" s="38">
        <v>200</v>
      </c>
      <c r="F117" s="7">
        <f>200/1000</f>
        <v>0.2</v>
      </c>
      <c r="G117" s="104">
        <v>0</v>
      </c>
      <c r="H117" s="104">
        <v>0</v>
      </c>
      <c r="I117" s="9" t="str">
        <f t="shared" si="36"/>
        <v>Моксифлоксацин / Авелокс ® розчин для інфузій 250мл (400мг), флак.</v>
      </c>
      <c r="J117" s="69">
        <f t="shared" si="37"/>
        <v>0</v>
      </c>
      <c r="K117" s="68">
        <v>0.2</v>
      </c>
    </row>
    <row r="118" spans="1:11" s="18" customFormat="1" ht="41.25" customHeight="1" x14ac:dyDescent="0.25">
      <c r="A118" s="377"/>
      <c r="B118" s="116">
        <v>0</v>
      </c>
      <c r="C118" s="7">
        <f t="shared" si="38"/>
        <v>0.3</v>
      </c>
      <c r="D118" s="16" t="s">
        <v>79</v>
      </c>
      <c r="E118" s="38">
        <v>300</v>
      </c>
      <c r="F118" s="7">
        <f>300/1000</f>
        <v>0.3</v>
      </c>
      <c r="G118" s="104">
        <v>0</v>
      </c>
      <c r="H118" s="104">
        <v>0</v>
      </c>
      <c r="I118" s="9" t="str">
        <f t="shared" si="36"/>
        <v>Термоковдра на поліетиленовій основі завширшки 160см, завдовжки 210см,для надання першої допомоги, шт.</v>
      </c>
      <c r="J118" s="69">
        <f t="shared" si="37"/>
        <v>1.0000000000000009E-2</v>
      </c>
      <c r="K118" s="70">
        <v>0.28999999999999998</v>
      </c>
    </row>
    <row r="119" spans="1:11" s="18" customFormat="1" ht="25.5" customHeight="1" x14ac:dyDescent="0.25">
      <c r="A119" s="377"/>
      <c r="B119" s="116">
        <v>0</v>
      </c>
      <c r="C119" s="7">
        <f t="shared" si="38"/>
        <v>4.3289999999999997</v>
      </c>
      <c r="D119" s="16" t="s">
        <v>80</v>
      </c>
      <c r="E119" s="38">
        <v>300</v>
      </c>
      <c r="F119" s="7">
        <f>4329/1000</f>
        <v>4.3289999999999997</v>
      </c>
      <c r="G119" s="104">
        <v>0</v>
      </c>
      <c r="H119" s="104">
        <v>0</v>
      </c>
      <c r="I119" s="9" t="str">
        <f t="shared" si="36"/>
        <v>Витратні матеріали/ Канюлі G16 без ін'єкційного порту, шт.</v>
      </c>
      <c r="J119" s="69">
        <f t="shared" si="37"/>
        <v>0</v>
      </c>
      <c r="K119" s="70">
        <v>4.3289999999999997</v>
      </c>
    </row>
    <row r="120" spans="1:11" s="18" customFormat="1" ht="25.5" customHeight="1" x14ac:dyDescent="0.25">
      <c r="A120" s="377"/>
      <c r="B120" s="116">
        <v>0</v>
      </c>
      <c r="C120" s="7">
        <f t="shared" si="38"/>
        <v>0.35</v>
      </c>
      <c r="D120" s="16" t="s">
        <v>81</v>
      </c>
      <c r="E120" s="38">
        <v>350</v>
      </c>
      <c r="F120" s="7">
        <f>350/1000</f>
        <v>0.35</v>
      </c>
      <c r="G120" s="104">
        <v>0</v>
      </c>
      <c r="H120" s="104">
        <v>0</v>
      </c>
      <c r="I120" s="9" t="str">
        <f t="shared" si="36"/>
        <v>Рукавиці оглядові нестерильні, пар.</v>
      </c>
      <c r="J120" s="69">
        <f t="shared" si="37"/>
        <v>0.35</v>
      </c>
      <c r="K120" s="68">
        <v>0</v>
      </c>
    </row>
    <row r="121" spans="1:11" s="18" customFormat="1" ht="25.5" customHeight="1" x14ac:dyDescent="0.25">
      <c r="A121" s="377"/>
      <c r="B121" s="116">
        <v>0</v>
      </c>
      <c r="C121" s="7">
        <f t="shared" si="38"/>
        <v>5.0000000000000001E-3</v>
      </c>
      <c r="D121" s="16" t="s">
        <v>82</v>
      </c>
      <c r="E121" s="38">
        <v>5</v>
      </c>
      <c r="F121" s="11">
        <f>5/1000</f>
        <v>5.0000000000000001E-3</v>
      </c>
      <c r="G121" s="104">
        <v>0</v>
      </c>
      <c r="H121" s="104">
        <v>0</v>
      </c>
      <c r="I121" s="9" t="str">
        <f t="shared" si="36"/>
        <v>Спірометр стимулюючий 4000мл, п/а, шт.</v>
      </c>
      <c r="J121" s="64">
        <f t="shared" si="37"/>
        <v>5.0000000000000001E-3</v>
      </c>
      <c r="K121" s="67">
        <v>0</v>
      </c>
    </row>
    <row r="122" spans="1:11" s="18" customFormat="1" ht="25.5" customHeight="1" x14ac:dyDescent="0.25">
      <c r="A122" s="377"/>
      <c r="B122" s="116">
        <v>0</v>
      </c>
      <c r="C122" s="7">
        <f t="shared" si="38"/>
        <v>0.02</v>
      </c>
      <c r="D122" s="16" t="s">
        <v>83</v>
      </c>
      <c r="E122" s="38">
        <v>20</v>
      </c>
      <c r="F122" s="7">
        <f>20/1000</f>
        <v>0.02</v>
      </c>
      <c r="G122" s="104">
        <v>0</v>
      </c>
      <c r="H122" s="104">
        <v>0</v>
      </c>
      <c r="I122" s="9" t="str">
        <f t="shared" si="36"/>
        <v>Педіатричний пульсоксиметр датчик з наклейкою</v>
      </c>
      <c r="J122" s="69">
        <f t="shared" si="37"/>
        <v>0</v>
      </c>
      <c r="K122" s="67">
        <v>0.02</v>
      </c>
    </row>
    <row r="123" spans="1:11" s="18" customFormat="1" ht="25.5" customHeight="1" x14ac:dyDescent="0.25">
      <c r="A123" s="377"/>
      <c r="B123" s="116">
        <v>0</v>
      </c>
      <c r="C123" s="7">
        <f t="shared" si="38"/>
        <v>0.02</v>
      </c>
      <c r="D123" s="16" t="s">
        <v>84</v>
      </c>
      <c r="E123" s="38">
        <v>20</v>
      </c>
      <c r="F123" s="7">
        <f>20/1000</f>
        <v>0.02</v>
      </c>
      <c r="G123" s="104">
        <v>0</v>
      </c>
      <c r="H123" s="104">
        <v>0</v>
      </c>
      <c r="I123" s="9" t="str">
        <f t="shared" si="36"/>
        <v>Датчик пульса з наклейкою для дорослих та дітей, шт.</v>
      </c>
      <c r="J123" s="64">
        <f t="shared" si="37"/>
        <v>0.02</v>
      </c>
      <c r="K123" s="67">
        <v>0</v>
      </c>
    </row>
    <row r="124" spans="1:11" s="18" customFormat="1" ht="25.5" customHeight="1" x14ac:dyDescent="0.25">
      <c r="A124" s="377"/>
      <c r="B124" s="116">
        <v>0</v>
      </c>
      <c r="C124" s="7">
        <f t="shared" si="38"/>
        <v>0.02</v>
      </c>
      <c r="D124" s="16" t="s">
        <v>85</v>
      </c>
      <c r="E124" s="38">
        <v>20</v>
      </c>
      <c r="F124" s="7">
        <f>20/1000</f>
        <v>0.02</v>
      </c>
      <c r="G124" s="104">
        <v>0</v>
      </c>
      <c r="H124" s="104">
        <v>0</v>
      </c>
      <c r="I124" s="9" t="str">
        <f t="shared" si="36"/>
        <v>Датчик пульса з наклейкою для дорослих, шт.</v>
      </c>
      <c r="J124" s="64">
        <f t="shared" si="37"/>
        <v>0.02</v>
      </c>
      <c r="K124" s="67">
        <v>0</v>
      </c>
    </row>
    <row r="125" spans="1:11" s="18" customFormat="1" ht="25.5" customHeight="1" thickBot="1" x14ac:dyDescent="0.3">
      <c r="A125" s="433"/>
      <c r="B125" s="118">
        <v>1</v>
      </c>
      <c r="C125" s="19">
        <f t="shared" si="38"/>
        <v>0.4</v>
      </c>
      <c r="D125" s="35" t="s">
        <v>86</v>
      </c>
      <c r="E125" s="39">
        <v>400</v>
      </c>
      <c r="F125" s="19">
        <f>400/1000</f>
        <v>0.4</v>
      </c>
      <c r="G125" s="113">
        <v>0</v>
      </c>
      <c r="H125" s="113">
        <v>0</v>
      </c>
      <c r="I125" s="21" t="str">
        <f t="shared" si="36"/>
        <v>Серветки сухі, шт.</v>
      </c>
      <c r="J125" s="71">
        <f t="shared" si="37"/>
        <v>0.4</v>
      </c>
      <c r="K125" s="72">
        <v>0</v>
      </c>
    </row>
    <row r="126" spans="1:11" s="18" customFormat="1" ht="51.75" customHeight="1" x14ac:dyDescent="0.25">
      <c r="A126" s="376" t="s">
        <v>155</v>
      </c>
      <c r="B126" s="434" t="s">
        <v>16</v>
      </c>
      <c r="C126" s="435"/>
      <c r="D126" s="435"/>
      <c r="E126" s="435"/>
      <c r="F126" s="22">
        <f>F127+F128+F129+F130+F131+F132+F133+F134+F135+F136+F137+F138+F139+F140+F141+F142+F143+F144+F145+F146+F147+F148+F149+F150+F151+F152+F153+F154+F155+F156+F157+F158+F159+F160+F161+F162+F163+F164+F165+F166</f>
        <v>147.41654400000002</v>
      </c>
      <c r="G126" s="436" t="s">
        <v>16</v>
      </c>
      <c r="H126" s="436"/>
      <c r="I126" s="436"/>
      <c r="J126" s="73">
        <f>J127+J128+J129+J130+J131+J132+J133+J134+J135+J136+J137+J138+J139+J140+J141+J142+J143+J144+J145+J146+J147+J148+J149+J150+J151+J152+J153+J154+J155+J156+J157+J158+J159+J160+J161+J162+J163+J164+J165+J166</f>
        <v>39.106600000000007</v>
      </c>
      <c r="K126" s="144">
        <f>SUM(K127:K166)</f>
        <v>108.30994399999999</v>
      </c>
    </row>
    <row r="127" spans="1:11" s="18" customFormat="1" ht="39" customHeight="1" x14ac:dyDescent="0.25">
      <c r="A127" s="377"/>
      <c r="B127" s="116">
        <v>1</v>
      </c>
      <c r="C127" s="32">
        <f>F125:F127</f>
        <v>0.2</v>
      </c>
      <c r="D127" s="16" t="s">
        <v>87</v>
      </c>
      <c r="E127" s="38">
        <v>200</v>
      </c>
      <c r="F127" s="32">
        <f>200/1000</f>
        <v>0.2</v>
      </c>
      <c r="G127" s="104">
        <v>0</v>
      </c>
      <c r="H127" s="104">
        <v>0</v>
      </c>
      <c r="I127" s="9" t="str">
        <f t="shared" ref="I127:I166" si="39">D127</f>
        <v>Витратні матеріали / Подовжувач інфузійний / BD Alaris 200cm 1,5ml, шт.</v>
      </c>
      <c r="J127" s="69">
        <f t="shared" si="37"/>
        <v>0</v>
      </c>
      <c r="K127" s="67">
        <v>0.2</v>
      </c>
    </row>
    <row r="128" spans="1:11" s="18" customFormat="1" ht="39" customHeight="1" x14ac:dyDescent="0.25">
      <c r="A128" s="377"/>
      <c r="B128" s="116">
        <v>1</v>
      </c>
      <c r="C128" s="32">
        <f t="shared" ref="C128:C166" si="40">F127:F128</f>
        <v>1.2</v>
      </c>
      <c r="D128" s="16" t="s">
        <v>88</v>
      </c>
      <c r="E128" s="38">
        <v>1200</v>
      </c>
      <c r="F128" s="32">
        <f>1200/1000</f>
        <v>1.2</v>
      </c>
      <c r="G128" s="104">
        <v>0</v>
      </c>
      <c r="H128" s="104">
        <v>0</v>
      </c>
      <c r="I128" s="9" t="str">
        <f t="shared" si="39"/>
        <v>Витратні матеріали / Шапочка мед.одноразова, синього кольору, шт.</v>
      </c>
      <c r="J128" s="64">
        <f t="shared" si="37"/>
        <v>5.4999999999999938E-2</v>
      </c>
      <c r="K128" s="67">
        <v>1.145</v>
      </c>
    </row>
    <row r="129" spans="1:11" s="18" customFormat="1" ht="39" customHeight="1" x14ac:dyDescent="0.25">
      <c r="A129" s="377"/>
      <c r="B129" s="116">
        <v>1</v>
      </c>
      <c r="C129" s="32">
        <f t="shared" si="40"/>
        <v>0.28000000000000003</v>
      </c>
      <c r="D129" s="16" t="s">
        <v>89</v>
      </c>
      <c r="E129" s="38">
        <v>280</v>
      </c>
      <c r="F129" s="32">
        <f>280/1000</f>
        <v>0.28000000000000003</v>
      </c>
      <c r="G129" s="104">
        <v>0</v>
      </c>
      <c r="H129" s="104">
        <v>0</v>
      </c>
      <c r="I129" s="9" t="str">
        <f t="shared" si="39"/>
        <v>Ривароксабан / Ксарелто табл.в/о 20мг, табл.</v>
      </c>
      <c r="J129" s="69">
        <f t="shared" si="37"/>
        <v>0</v>
      </c>
      <c r="K129" s="67">
        <v>0.28000000000000003</v>
      </c>
    </row>
    <row r="130" spans="1:11" s="18" customFormat="1" ht="39" customHeight="1" x14ac:dyDescent="0.25">
      <c r="A130" s="377"/>
      <c r="B130" s="116">
        <v>1</v>
      </c>
      <c r="C130" s="32">
        <f t="shared" si="40"/>
        <v>0.155</v>
      </c>
      <c r="D130" s="16" t="s">
        <v>90</v>
      </c>
      <c r="E130" s="38">
        <v>155</v>
      </c>
      <c r="F130" s="32">
        <f>155/1000</f>
        <v>0.155</v>
      </c>
      <c r="G130" s="104">
        <v>0</v>
      </c>
      <c r="H130" s="104">
        <v>0</v>
      </c>
      <c r="I130" s="9" t="str">
        <f t="shared" si="39"/>
        <v>Пропофол / Diprivan 1% 20мл, флак.</v>
      </c>
      <c r="J130" s="64">
        <f t="shared" si="37"/>
        <v>6.6000000000000003E-2</v>
      </c>
      <c r="K130" s="67">
        <v>8.8999999999999996E-2</v>
      </c>
    </row>
    <row r="131" spans="1:11" s="18" customFormat="1" ht="39" customHeight="1" x14ac:dyDescent="0.25">
      <c r="A131" s="377"/>
      <c r="B131" s="116">
        <v>1</v>
      </c>
      <c r="C131" s="32">
        <f t="shared" si="40"/>
        <v>0.1</v>
      </c>
      <c r="D131" s="16" t="s">
        <v>91</v>
      </c>
      <c r="E131" s="38">
        <v>100</v>
      </c>
      <c r="F131" s="32">
        <f>100/1000</f>
        <v>0.1</v>
      </c>
      <c r="G131" s="104">
        <v>0</v>
      </c>
      <c r="H131" s="104">
        <v>0</v>
      </c>
      <c r="I131" s="9" t="str">
        <f t="shared" si="39"/>
        <v>Бупівакаїн / Маркаїн розчин д.ін 5мг/мл 20мл, амп.</v>
      </c>
      <c r="J131" s="69">
        <f t="shared" si="37"/>
        <v>0</v>
      </c>
      <c r="K131" s="67">
        <v>0.1</v>
      </c>
    </row>
    <row r="132" spans="1:11" s="18" customFormat="1" ht="39" customHeight="1" x14ac:dyDescent="0.25">
      <c r="A132" s="377"/>
      <c r="B132" s="116">
        <v>1</v>
      </c>
      <c r="C132" s="32">
        <f t="shared" si="40"/>
        <v>1.8</v>
      </c>
      <c r="D132" s="16" t="s">
        <v>92</v>
      </c>
      <c r="E132" s="38">
        <v>1800</v>
      </c>
      <c r="F132" s="32">
        <f>1800/1000</f>
        <v>1.8</v>
      </c>
      <c r="G132" s="104">
        <v>0</v>
      </c>
      <c r="H132" s="104">
        <v>0</v>
      </c>
      <c r="I132" s="9" t="str">
        <f t="shared" si="39"/>
        <v>Шприци з голками (різного обсягу) / Шприци 5мл, шт.</v>
      </c>
      <c r="J132" s="69">
        <f t="shared" si="37"/>
        <v>0</v>
      </c>
      <c r="K132" s="67">
        <v>1.8</v>
      </c>
    </row>
    <row r="133" spans="1:11" s="18" customFormat="1" ht="45.75" customHeight="1" x14ac:dyDescent="0.25">
      <c r="A133" s="377"/>
      <c r="B133" s="116">
        <v>1</v>
      </c>
      <c r="C133" s="32">
        <f t="shared" si="40"/>
        <v>0.4</v>
      </c>
      <c r="D133" s="16" t="s">
        <v>93</v>
      </c>
      <c r="E133" s="38">
        <v>400</v>
      </c>
      <c r="F133" s="32">
        <f>400/1000</f>
        <v>0.4</v>
      </c>
      <c r="G133" s="104">
        <v>0</v>
      </c>
      <c r="H133" s="104">
        <v>0</v>
      </c>
      <c r="I133" s="9" t="str">
        <f t="shared" si="39"/>
        <v>Крапельниці та катетери / Закрита катетерна система 20GA  1,25IN, 1,1x32mm, шт.</v>
      </c>
      <c r="J133" s="69">
        <f t="shared" si="37"/>
        <v>0</v>
      </c>
      <c r="K133" s="67">
        <v>0.4</v>
      </c>
    </row>
    <row r="134" spans="1:11" s="18" customFormat="1" ht="42" customHeight="1" x14ac:dyDescent="0.25">
      <c r="A134" s="377"/>
      <c r="B134" s="116">
        <v>1</v>
      </c>
      <c r="C134" s="32">
        <f t="shared" si="40"/>
        <v>0.05</v>
      </c>
      <c r="D134" s="16" t="s">
        <v>94</v>
      </c>
      <c r="E134" s="38">
        <v>50</v>
      </c>
      <c r="F134" s="32">
        <f>50/1000</f>
        <v>0.05</v>
      </c>
      <c r="G134" s="104">
        <v>0</v>
      </c>
      <c r="H134" s="104">
        <v>0</v>
      </c>
      <c r="I134" s="9" t="str">
        <f t="shared" si="39"/>
        <v>Катетери для периферичних вен (різних розмірів) / Внутрішньовенний катетер з захисною плівкою 1,8х45мм 16G, шт.</v>
      </c>
      <c r="J134" s="69">
        <f t="shared" si="37"/>
        <v>0</v>
      </c>
      <c r="K134" s="67">
        <v>0.05</v>
      </c>
    </row>
    <row r="135" spans="1:11" s="18" customFormat="1" ht="30.75" customHeight="1" x14ac:dyDescent="0.25">
      <c r="A135" s="377"/>
      <c r="B135" s="116">
        <v>1</v>
      </c>
      <c r="C135" s="32">
        <f t="shared" si="40"/>
        <v>8.9348399999999994</v>
      </c>
      <c r="D135" s="16" t="s">
        <v>95</v>
      </c>
      <c r="E135" s="38">
        <v>540</v>
      </c>
      <c r="F135" s="32">
        <f>8934.84/1000</f>
        <v>8.9348399999999994</v>
      </c>
      <c r="G135" s="104">
        <v>0</v>
      </c>
      <c r="H135" s="104">
        <v>0</v>
      </c>
      <c r="I135" s="9" t="str">
        <f t="shared" si="39"/>
        <v>Підгузки дорослі / Підгузки для дорослих, розмір XL, шт.</v>
      </c>
      <c r="J135" s="69">
        <f t="shared" si="37"/>
        <v>0</v>
      </c>
      <c r="K135" s="67">
        <f>F135</f>
        <v>8.9348399999999994</v>
      </c>
    </row>
    <row r="136" spans="1:11" s="18" customFormat="1" ht="30.75" customHeight="1" x14ac:dyDescent="0.25">
      <c r="A136" s="377"/>
      <c r="B136" s="116">
        <v>1</v>
      </c>
      <c r="C136" s="32">
        <f t="shared" si="40"/>
        <v>8.4931200000000011</v>
      </c>
      <c r="D136" s="16" t="s">
        <v>96</v>
      </c>
      <c r="E136" s="38">
        <v>480</v>
      </c>
      <c r="F136" s="32">
        <f>8493.12/1000</f>
        <v>8.4931200000000011</v>
      </c>
      <c r="G136" s="104">
        <v>0</v>
      </c>
      <c r="H136" s="104">
        <v>0</v>
      </c>
      <c r="I136" s="9" t="str">
        <f t="shared" si="39"/>
        <v>Підгузки дорослі / Підгузки для дорослих, розмір L, шт.</v>
      </c>
      <c r="J136" s="69">
        <f t="shared" si="37"/>
        <v>0</v>
      </c>
      <c r="K136" s="67">
        <f>F136</f>
        <v>8.4931200000000011</v>
      </c>
    </row>
    <row r="137" spans="1:11" s="18" customFormat="1" ht="43.5" customHeight="1" x14ac:dyDescent="0.25">
      <c r="A137" s="377"/>
      <c r="B137" s="116">
        <v>1</v>
      </c>
      <c r="C137" s="32">
        <f t="shared" si="40"/>
        <v>0.93620000000000003</v>
      </c>
      <c r="D137" s="16" t="s">
        <v>97</v>
      </c>
      <c r="E137" s="38">
        <v>2000</v>
      </c>
      <c r="F137" s="32">
        <f>936.2/1000</f>
        <v>0.93620000000000003</v>
      </c>
      <c r="G137" s="104">
        <v>0</v>
      </c>
      <c r="H137" s="104">
        <v>0</v>
      </c>
      <c r="I137" s="9" t="str">
        <f t="shared" si="39"/>
        <v>Залізо, вітамін В12 та фолієва кислота / Ferrous salt 60mg iron / Folic acid 0,4mg табл.</v>
      </c>
      <c r="J137" s="64">
        <f t="shared" si="37"/>
        <v>0.43620000000000003</v>
      </c>
      <c r="K137" s="67">
        <v>0.5</v>
      </c>
    </row>
    <row r="138" spans="1:11" s="18" customFormat="1" ht="30.75" customHeight="1" x14ac:dyDescent="0.25">
      <c r="A138" s="377"/>
      <c r="B138" s="116">
        <v>1</v>
      </c>
      <c r="C138" s="32">
        <f t="shared" si="40"/>
        <v>30.794400000000003</v>
      </c>
      <c r="D138" s="16" t="s">
        <v>98</v>
      </c>
      <c r="E138" s="38">
        <v>140</v>
      </c>
      <c r="F138" s="32">
        <f>30794.4/1000</f>
        <v>30.794400000000003</v>
      </c>
      <c r="G138" s="104">
        <v>0</v>
      </c>
      <c r="H138" s="104">
        <v>0</v>
      </c>
      <c r="I138" s="9" t="str">
        <f t="shared" si="39"/>
        <v>Норетинодрел та естроген / LOESTRIN FE 1,5mg-0,03mg, табл.</v>
      </c>
      <c r="J138" s="64">
        <f t="shared" si="37"/>
        <v>30.794400000000003</v>
      </c>
      <c r="K138" s="67">
        <v>0</v>
      </c>
    </row>
    <row r="139" spans="1:11" s="18" customFormat="1" ht="30.75" customHeight="1" x14ac:dyDescent="0.25">
      <c r="A139" s="377"/>
      <c r="B139" s="116">
        <v>1</v>
      </c>
      <c r="C139" s="32">
        <f t="shared" si="40"/>
        <v>10.861000000000001</v>
      </c>
      <c r="D139" s="16" t="s">
        <v>99</v>
      </c>
      <c r="E139" s="38">
        <v>100</v>
      </c>
      <c r="F139" s="32">
        <f>10861/1000</f>
        <v>10.861000000000001</v>
      </c>
      <c r="G139" s="104">
        <v>0</v>
      </c>
      <c r="H139" s="104">
        <v>0</v>
      </c>
      <c r="I139" s="9" t="str">
        <f t="shared" si="39"/>
        <v>Окуляри захисні / Захисні окуляри з еластичною пов'язкою на голову, шт.</v>
      </c>
      <c r="J139" s="64">
        <f t="shared" si="37"/>
        <v>0.39100000000000001</v>
      </c>
      <c r="K139" s="67">
        <v>10.47</v>
      </c>
    </row>
    <row r="140" spans="1:11" s="18" customFormat="1" ht="40.5" customHeight="1" x14ac:dyDescent="0.25">
      <c r="A140" s="377"/>
      <c r="B140" s="116">
        <v>1</v>
      </c>
      <c r="C140" s="32">
        <f t="shared" si="40"/>
        <v>5.4450000000000003</v>
      </c>
      <c r="D140" s="16" t="s">
        <v>100</v>
      </c>
      <c r="E140" s="38">
        <v>900</v>
      </c>
      <c r="F140" s="32">
        <f>5445/1000</f>
        <v>5.4450000000000003</v>
      </c>
      <c r="G140" s="104">
        <v>0</v>
      </c>
      <c r="H140" s="104">
        <v>0</v>
      </c>
      <c r="I140" s="9" t="str">
        <f t="shared" si="39"/>
        <v>Шприци з голками (різного обсягу) / Шприц з безпечною голкою 25G х 1", шт.</v>
      </c>
      <c r="J140" s="69">
        <f t="shared" si="37"/>
        <v>0</v>
      </c>
      <c r="K140" s="67">
        <v>5.4450000000000003</v>
      </c>
    </row>
    <row r="141" spans="1:11" s="18" customFormat="1" ht="22.5" customHeight="1" x14ac:dyDescent="0.25">
      <c r="A141" s="377"/>
      <c r="B141" s="116">
        <v>1</v>
      </c>
      <c r="C141" s="32">
        <f t="shared" si="40"/>
        <v>0.05</v>
      </c>
      <c r="D141" s="16" t="s">
        <v>101</v>
      </c>
      <c r="E141" s="38">
        <v>50</v>
      </c>
      <c r="F141" s="32">
        <f>50/1000</f>
        <v>0.05</v>
      </c>
      <c r="G141" s="104">
        <v>0</v>
      </c>
      <c r="H141" s="104">
        <v>0</v>
      </c>
      <c r="I141" s="9" t="str">
        <f t="shared" si="39"/>
        <v>Еноксапарин 60мг/0,6мл, амп.</v>
      </c>
      <c r="J141" s="64">
        <f t="shared" si="37"/>
        <v>3.8000000000000006E-2</v>
      </c>
      <c r="K141" s="67">
        <v>1.2E-2</v>
      </c>
    </row>
    <row r="142" spans="1:11" s="18" customFormat="1" ht="22.5" customHeight="1" x14ac:dyDescent="0.25">
      <c r="A142" s="377"/>
      <c r="B142" s="116">
        <v>1</v>
      </c>
      <c r="C142" s="32">
        <f t="shared" si="40"/>
        <v>0.15</v>
      </c>
      <c r="D142" s="16" t="s">
        <v>102</v>
      </c>
      <c r="E142" s="38">
        <v>150</v>
      </c>
      <c r="F142" s="32">
        <f>150/1000</f>
        <v>0.15</v>
      </c>
      <c r="G142" s="104">
        <v>0</v>
      </c>
      <c r="H142" s="104">
        <v>0</v>
      </c>
      <c r="I142" s="9" t="str">
        <f t="shared" si="39"/>
        <v>Еноксапарин 40мг/0,4мл, амп.</v>
      </c>
      <c r="J142" s="69">
        <f t="shared" si="37"/>
        <v>0</v>
      </c>
      <c r="K142" s="67">
        <v>0.15</v>
      </c>
    </row>
    <row r="143" spans="1:11" s="18" customFormat="1" ht="22.5" customHeight="1" x14ac:dyDescent="0.25">
      <c r="A143" s="377"/>
      <c r="B143" s="116">
        <v>1</v>
      </c>
      <c r="C143" s="32">
        <f t="shared" si="40"/>
        <v>1.89</v>
      </c>
      <c r="D143" s="16" t="s">
        <v>103</v>
      </c>
      <c r="E143" s="38">
        <v>1890</v>
      </c>
      <c r="F143" s="32">
        <f>1890/1000</f>
        <v>1.89</v>
      </c>
      <c r="G143" s="104">
        <v>0</v>
      </c>
      <c r="H143" s="104">
        <v>0</v>
      </c>
      <c r="I143" s="9" t="str">
        <f t="shared" si="39"/>
        <v>Етинілестрадіол, табл.</v>
      </c>
      <c r="J143" s="64">
        <f t="shared" si="37"/>
        <v>0.12599999999999989</v>
      </c>
      <c r="K143" s="67">
        <v>1.764</v>
      </c>
    </row>
    <row r="144" spans="1:11" s="18" customFormat="1" ht="22.5" customHeight="1" x14ac:dyDescent="0.25">
      <c r="A144" s="377"/>
      <c r="B144" s="116">
        <v>1</v>
      </c>
      <c r="C144" s="32">
        <f t="shared" si="40"/>
        <v>0.01</v>
      </c>
      <c r="D144" s="16" t="s">
        <v>104</v>
      </c>
      <c r="E144" s="38">
        <v>10</v>
      </c>
      <c r="F144" s="11">
        <f>10/1000</f>
        <v>0.01</v>
      </c>
      <c r="G144" s="104">
        <v>0</v>
      </c>
      <c r="H144" s="104">
        <v>0</v>
      </c>
      <c r="I144" s="9" t="str">
        <f t="shared" si="39"/>
        <v>Набір для промивання шлунка, шт.</v>
      </c>
      <c r="J144" s="69">
        <f t="shared" si="37"/>
        <v>0</v>
      </c>
      <c r="K144" s="67">
        <v>0.01</v>
      </c>
    </row>
    <row r="145" spans="1:11" s="18" customFormat="1" ht="30.75" customHeight="1" x14ac:dyDescent="0.25">
      <c r="A145" s="377"/>
      <c r="B145" s="116">
        <v>1</v>
      </c>
      <c r="C145" s="32">
        <f t="shared" si="40"/>
        <v>0.2</v>
      </c>
      <c r="D145" s="16" t="s">
        <v>105</v>
      </c>
      <c r="E145" s="38">
        <v>200</v>
      </c>
      <c r="F145" s="32">
        <f>200/1000</f>
        <v>0.2</v>
      </c>
      <c r="G145" s="104">
        <v>0</v>
      </c>
      <c r="H145" s="104">
        <v>0</v>
      </c>
      <c r="I145" s="9" t="str">
        <f t="shared" si="39"/>
        <v>Рукавички медичні оглядові нітрилові нестерильні (розмір L), шт.</v>
      </c>
      <c r="J145" s="69">
        <f t="shared" si="37"/>
        <v>0</v>
      </c>
      <c r="K145" s="67">
        <v>0.2</v>
      </c>
    </row>
    <row r="146" spans="1:11" s="18" customFormat="1" ht="30.75" customHeight="1" x14ac:dyDescent="0.25">
      <c r="A146" s="377"/>
      <c r="B146" s="116">
        <v>1</v>
      </c>
      <c r="C146" s="11">
        <f t="shared" si="40"/>
        <v>1E-3</v>
      </c>
      <c r="D146" s="16" t="s">
        <v>106</v>
      </c>
      <c r="E146" s="38">
        <v>1</v>
      </c>
      <c r="F146" s="11">
        <f>1/1000</f>
        <v>1E-3</v>
      </c>
      <c r="G146" s="104">
        <v>0</v>
      </c>
      <c r="H146" s="104">
        <v>0</v>
      </c>
      <c r="I146" s="9" t="str">
        <f t="shared" si="39"/>
        <v>Набір для катетеризації сечового міхура, шт.</v>
      </c>
      <c r="J146" s="69">
        <f t="shared" si="37"/>
        <v>0</v>
      </c>
      <c r="K146" s="67">
        <v>1E-3</v>
      </c>
    </row>
    <row r="147" spans="1:11" s="18" customFormat="1" ht="30.75" customHeight="1" x14ac:dyDescent="0.25">
      <c r="A147" s="377"/>
      <c r="B147" s="116">
        <v>1</v>
      </c>
      <c r="C147" s="32">
        <f t="shared" si="40"/>
        <v>0.5</v>
      </c>
      <c r="D147" s="16" t="s">
        <v>107</v>
      </c>
      <c r="E147" s="38">
        <v>500</v>
      </c>
      <c r="F147" s="33">
        <f>500/1000</f>
        <v>0.5</v>
      </c>
      <c r="G147" s="104">
        <v>0</v>
      </c>
      <c r="H147" s="104">
        <v>0</v>
      </c>
      <c r="I147" s="9" t="str">
        <f t="shared" si="39"/>
        <v>Витратні матеріали / Urine bag 2 I,non-ret. Valves, шт.</v>
      </c>
      <c r="J147" s="69">
        <f t="shared" si="37"/>
        <v>0</v>
      </c>
      <c r="K147" s="67">
        <v>0.5</v>
      </c>
    </row>
    <row r="148" spans="1:11" s="18" customFormat="1" ht="30.75" customHeight="1" x14ac:dyDescent="0.25">
      <c r="A148" s="377"/>
      <c r="B148" s="116">
        <v>1</v>
      </c>
      <c r="C148" s="32">
        <f t="shared" si="40"/>
        <v>0.1</v>
      </c>
      <c r="D148" s="16" t="s">
        <v>107</v>
      </c>
      <c r="E148" s="38">
        <v>100</v>
      </c>
      <c r="F148" s="33">
        <f>100/1000</f>
        <v>0.1</v>
      </c>
      <c r="G148" s="104">
        <v>0</v>
      </c>
      <c r="H148" s="104">
        <v>0</v>
      </c>
      <c r="I148" s="9" t="str">
        <f t="shared" si="39"/>
        <v>Витратні матеріали / Urine bag 2 I,non-ret. Valves, шт.</v>
      </c>
      <c r="J148" s="69">
        <f t="shared" si="37"/>
        <v>0</v>
      </c>
      <c r="K148" s="67">
        <v>0.1</v>
      </c>
    </row>
    <row r="149" spans="1:11" s="18" customFormat="1" ht="30.75" customHeight="1" x14ac:dyDescent="0.25">
      <c r="A149" s="377"/>
      <c r="B149" s="116">
        <v>1</v>
      </c>
      <c r="C149" s="32">
        <f t="shared" si="40"/>
        <v>0.05</v>
      </c>
      <c r="D149" s="16" t="s">
        <v>108</v>
      </c>
      <c r="E149" s="38">
        <v>50</v>
      </c>
      <c r="F149" s="32">
        <f>50/1000</f>
        <v>0.05</v>
      </c>
      <c r="G149" s="104">
        <v>0</v>
      </c>
      <c r="H149" s="104">
        <v>0</v>
      </c>
      <c r="I149" s="9" t="str">
        <f t="shared" si="39"/>
        <v>Витратні матеріали / Nasal oxygen cannula 2 prongs+tube, шт.</v>
      </c>
      <c r="J149" s="69">
        <f t="shared" si="37"/>
        <v>0</v>
      </c>
      <c r="K149" s="67">
        <v>0.05</v>
      </c>
    </row>
    <row r="150" spans="1:11" s="18" customFormat="1" ht="30.75" customHeight="1" thickBot="1" x14ac:dyDescent="0.3">
      <c r="A150" s="433"/>
      <c r="B150" s="118">
        <v>1</v>
      </c>
      <c r="C150" s="34">
        <f t="shared" si="40"/>
        <v>1</v>
      </c>
      <c r="D150" s="35" t="s">
        <v>109</v>
      </c>
      <c r="E150" s="39">
        <v>1000</v>
      </c>
      <c r="F150" s="34">
        <f>1000/1000</f>
        <v>1</v>
      </c>
      <c r="G150" s="113">
        <v>0</v>
      </c>
      <c r="H150" s="113">
        <v>0</v>
      </c>
      <c r="I150" s="21" t="str">
        <f t="shared" si="39"/>
        <v>Рукавички медичні оглядові нітрилові нестерильні (розмір S), шт.</v>
      </c>
      <c r="J150" s="99">
        <f t="shared" si="37"/>
        <v>0</v>
      </c>
      <c r="K150" s="72">
        <v>1</v>
      </c>
    </row>
    <row r="151" spans="1:11" s="18" customFormat="1" ht="36" customHeight="1" x14ac:dyDescent="0.25">
      <c r="A151" s="376" t="s">
        <v>155</v>
      </c>
      <c r="B151" s="141">
        <v>1</v>
      </c>
      <c r="C151" s="145">
        <f t="shared" si="40"/>
        <v>3.6</v>
      </c>
      <c r="D151" s="146" t="s">
        <v>110</v>
      </c>
      <c r="E151" s="147">
        <v>3600</v>
      </c>
      <c r="F151" s="145">
        <f>3600/1000</f>
        <v>3.6</v>
      </c>
      <c r="G151" s="142">
        <v>0</v>
      </c>
      <c r="H151" s="142">
        <v>0</v>
      </c>
      <c r="I151" s="44" t="str">
        <f t="shared" si="39"/>
        <v>Рукавички медичні оглядові нітрилові нестерильні (розмір M), шт.</v>
      </c>
      <c r="J151" s="148">
        <f t="shared" si="37"/>
        <v>0</v>
      </c>
      <c r="K151" s="144">
        <v>3.6</v>
      </c>
    </row>
    <row r="152" spans="1:11" s="18" customFormat="1" ht="36" customHeight="1" x14ac:dyDescent="0.25">
      <c r="A152" s="377"/>
      <c r="B152" s="116">
        <v>1</v>
      </c>
      <c r="C152" s="32">
        <f t="shared" si="40"/>
        <v>0.3</v>
      </c>
      <c r="D152" s="16" t="s">
        <v>111</v>
      </c>
      <c r="E152" s="38">
        <v>300</v>
      </c>
      <c r="F152" s="32">
        <f>300/1000</f>
        <v>0.3</v>
      </c>
      <c r="G152" s="104">
        <v>0</v>
      </c>
      <c r="H152" s="104">
        <v>0</v>
      </c>
      <c r="I152" s="9" t="str">
        <f t="shared" si="39"/>
        <v>Витратні матеріали / Bag plastic for health card 16x22cm, шт.</v>
      </c>
      <c r="J152" s="69">
        <f t="shared" si="37"/>
        <v>0</v>
      </c>
      <c r="K152" s="67">
        <v>0.3</v>
      </c>
    </row>
    <row r="153" spans="1:11" s="18" customFormat="1" ht="36" customHeight="1" x14ac:dyDescent="0.25">
      <c r="A153" s="377"/>
      <c r="B153" s="116">
        <v>1</v>
      </c>
      <c r="C153" s="32">
        <f t="shared" si="40"/>
        <v>0.01</v>
      </c>
      <c r="D153" s="16" t="s">
        <v>112</v>
      </c>
      <c r="E153" s="38">
        <v>10</v>
      </c>
      <c r="F153" s="32">
        <f>10/1000</f>
        <v>0.01</v>
      </c>
      <c r="G153" s="104">
        <v>0</v>
      </c>
      <c r="H153" s="104">
        <v>0</v>
      </c>
      <c r="I153" s="9" t="str">
        <f t="shared" si="39"/>
        <v>Окуляри захисні, шт.</v>
      </c>
      <c r="J153" s="69">
        <f t="shared" si="37"/>
        <v>0</v>
      </c>
      <c r="K153" s="67">
        <v>0.01</v>
      </c>
    </row>
    <row r="154" spans="1:11" s="18" customFormat="1" ht="36" customHeight="1" x14ac:dyDescent="0.25">
      <c r="A154" s="377"/>
      <c r="B154" s="116">
        <v>1</v>
      </c>
      <c r="C154" s="32">
        <f t="shared" si="40"/>
        <v>1.1499999999999999</v>
      </c>
      <c r="D154" s="16" t="s">
        <v>113</v>
      </c>
      <c r="E154" s="38">
        <v>1150</v>
      </c>
      <c r="F154" s="32">
        <f>1150/1000</f>
        <v>1.1499999999999999</v>
      </c>
      <c r="G154" s="104">
        <v>0</v>
      </c>
      <c r="H154" s="104">
        <v>0</v>
      </c>
      <c r="I154" s="9" t="str">
        <f t="shared" si="39"/>
        <v>Шприц 10ml</v>
      </c>
      <c r="J154" s="69">
        <f t="shared" si="37"/>
        <v>0</v>
      </c>
      <c r="K154" s="67">
        <v>1.1499999999999999</v>
      </c>
    </row>
    <row r="155" spans="1:11" s="18" customFormat="1" ht="36" customHeight="1" x14ac:dyDescent="0.25">
      <c r="A155" s="377"/>
      <c r="B155" s="116">
        <v>1</v>
      </c>
      <c r="C155" s="32">
        <f t="shared" si="40"/>
        <v>0.1</v>
      </c>
      <c r="D155" s="16" t="s">
        <v>114</v>
      </c>
      <c r="E155" s="38">
        <v>100</v>
      </c>
      <c r="F155" s="32">
        <f>100/1000</f>
        <v>0.1</v>
      </c>
      <c r="G155" s="104">
        <v>0</v>
      </c>
      <c r="H155" s="104">
        <v>0</v>
      </c>
      <c r="I155" s="9" t="str">
        <f t="shared" si="39"/>
        <v>Шприц 5ml</v>
      </c>
      <c r="J155" s="69">
        <f t="shared" si="37"/>
        <v>0</v>
      </c>
      <c r="K155" s="67">
        <v>0.1</v>
      </c>
    </row>
    <row r="156" spans="1:11" s="18" customFormat="1" ht="36" customHeight="1" x14ac:dyDescent="0.25">
      <c r="A156" s="377"/>
      <c r="B156" s="116">
        <v>1</v>
      </c>
      <c r="C156" s="32">
        <f t="shared" si="40"/>
        <v>2</v>
      </c>
      <c r="D156" s="16" t="s">
        <v>115</v>
      </c>
      <c r="E156" s="38">
        <v>2000</v>
      </c>
      <c r="F156" s="32">
        <f>2000/1000</f>
        <v>2</v>
      </c>
      <c r="G156" s="104">
        <v>0</v>
      </c>
      <c r="H156" s="104">
        <v>0</v>
      </c>
      <c r="I156" s="9" t="str">
        <f t="shared" si="39"/>
        <v>Шприц 2ml</v>
      </c>
      <c r="J156" s="69">
        <f t="shared" si="37"/>
        <v>0</v>
      </c>
      <c r="K156" s="67">
        <v>2</v>
      </c>
    </row>
    <row r="157" spans="1:11" s="18" customFormat="1" ht="36" customHeight="1" x14ac:dyDescent="0.25">
      <c r="A157" s="377"/>
      <c r="B157" s="116">
        <v>1</v>
      </c>
      <c r="C157" s="32">
        <f t="shared" si="40"/>
        <v>2</v>
      </c>
      <c r="D157" s="16" t="s">
        <v>115</v>
      </c>
      <c r="E157" s="38">
        <v>2000</v>
      </c>
      <c r="F157" s="32">
        <f>2000/1000</f>
        <v>2</v>
      </c>
      <c r="G157" s="104">
        <v>0</v>
      </c>
      <c r="H157" s="104">
        <v>0</v>
      </c>
      <c r="I157" s="9" t="str">
        <f t="shared" si="39"/>
        <v>Шприц 2ml</v>
      </c>
      <c r="J157" s="69">
        <f t="shared" si="37"/>
        <v>0</v>
      </c>
      <c r="K157" s="67">
        <v>2</v>
      </c>
    </row>
    <row r="158" spans="1:11" s="18" customFormat="1" ht="36" customHeight="1" x14ac:dyDescent="0.25">
      <c r="A158" s="377"/>
      <c r="B158" s="116">
        <v>1</v>
      </c>
      <c r="C158" s="32">
        <f t="shared" si="40"/>
        <v>1</v>
      </c>
      <c r="D158" s="16" t="s">
        <v>116</v>
      </c>
      <c r="E158" s="38">
        <v>1000</v>
      </c>
      <c r="F158" s="32">
        <f>1000/1000</f>
        <v>1</v>
      </c>
      <c r="G158" s="104">
        <v>0</v>
      </c>
      <c r="H158" s="104">
        <v>0</v>
      </c>
      <c r="I158" s="9" t="str">
        <f t="shared" si="39"/>
        <v>Шприци з голками (різного обсягу) / Шприц одноразовий 3 мл, шт.</v>
      </c>
      <c r="J158" s="69">
        <f t="shared" si="37"/>
        <v>0</v>
      </c>
      <c r="K158" s="67">
        <v>1</v>
      </c>
    </row>
    <row r="159" spans="1:11" s="18" customFormat="1" ht="36" customHeight="1" x14ac:dyDescent="0.25">
      <c r="A159" s="377"/>
      <c r="B159" s="116">
        <v>1</v>
      </c>
      <c r="C159" s="32">
        <f t="shared" si="40"/>
        <v>0.1</v>
      </c>
      <c r="D159" s="16" t="s">
        <v>117</v>
      </c>
      <c r="E159" s="38">
        <v>100</v>
      </c>
      <c r="F159" s="32">
        <f>100/1000</f>
        <v>0.1</v>
      </c>
      <c r="G159" s="104">
        <v>0</v>
      </c>
      <c r="H159" s="104">
        <v>0</v>
      </c>
      <c r="I159" s="9" t="str">
        <f t="shared" si="39"/>
        <v>Шприци з голками (різного обсягу) / Шприц одноразовий 5 мл, шт.</v>
      </c>
      <c r="J159" s="69">
        <f t="shared" si="37"/>
        <v>0</v>
      </c>
      <c r="K159" s="67">
        <v>0.1</v>
      </c>
    </row>
    <row r="160" spans="1:11" s="18" customFormat="1" ht="36" customHeight="1" x14ac:dyDescent="0.25">
      <c r="A160" s="377"/>
      <c r="B160" s="116">
        <v>1</v>
      </c>
      <c r="C160" s="32">
        <f t="shared" si="40"/>
        <v>0.2</v>
      </c>
      <c r="D160" s="16" t="s">
        <v>118</v>
      </c>
      <c r="E160" s="38">
        <v>200</v>
      </c>
      <c r="F160" s="32">
        <f>200/1000</f>
        <v>0.2</v>
      </c>
      <c r="G160" s="104">
        <v>0</v>
      </c>
      <c r="H160" s="104">
        <v>0</v>
      </c>
      <c r="I160" s="9" t="str">
        <f t="shared" si="39"/>
        <v xml:space="preserve">Медичні маски / Маска медична захисна, шт. </v>
      </c>
      <c r="J160" s="69">
        <f t="shared" si="37"/>
        <v>0</v>
      </c>
      <c r="K160" s="67">
        <v>0.2</v>
      </c>
    </row>
    <row r="161" spans="1:18" s="18" customFormat="1" ht="36" customHeight="1" x14ac:dyDescent="0.25">
      <c r="A161" s="377"/>
      <c r="B161" s="116">
        <v>1</v>
      </c>
      <c r="C161" s="32">
        <f t="shared" si="40"/>
        <v>6.7969999999999997</v>
      </c>
      <c r="D161" s="16" t="s">
        <v>119</v>
      </c>
      <c r="E161" s="38">
        <v>100</v>
      </c>
      <c r="F161" s="32">
        <f>6797/1000</f>
        <v>6.7969999999999997</v>
      </c>
      <c r="G161" s="104">
        <v>0</v>
      </c>
      <c r="H161" s="104">
        <v>0</v>
      </c>
      <c r="I161" s="9" t="str">
        <f t="shared" si="39"/>
        <v>Бупівакаїн / Bucain 0,25% 2,5mg/ml 125mg/50ml флакон 50мл, флак.</v>
      </c>
      <c r="J161" s="69">
        <f t="shared" si="37"/>
        <v>0</v>
      </c>
      <c r="K161" s="67">
        <v>6.7969999999999997</v>
      </c>
    </row>
    <row r="162" spans="1:18" s="18" customFormat="1" ht="36" customHeight="1" x14ac:dyDescent="0.25">
      <c r="A162" s="377"/>
      <c r="B162" s="116">
        <v>1</v>
      </c>
      <c r="C162" s="32">
        <f t="shared" si="40"/>
        <v>4.2779999999999996</v>
      </c>
      <c r="D162" s="16" t="s">
        <v>120</v>
      </c>
      <c r="E162" s="38">
        <v>100</v>
      </c>
      <c r="F162" s="32">
        <f>4278/1000</f>
        <v>4.2779999999999996</v>
      </c>
      <c r="G162" s="104">
        <v>0</v>
      </c>
      <c r="H162" s="104">
        <v>0</v>
      </c>
      <c r="I162" s="9" t="str">
        <f t="shared" si="39"/>
        <v>Бупівакаїн / Bucain 0,25% 2,5mg/ml 50mg/20ml флакон 20мл, флак.</v>
      </c>
      <c r="J162" s="69">
        <f t="shared" si="37"/>
        <v>0</v>
      </c>
      <c r="K162" s="67">
        <f>F162</f>
        <v>4.2779999999999996</v>
      </c>
      <c r="N162" s="7" t="e">
        <f>N1+#REF!+N49+N52+N66+N69+N73+N77+N142+N145+N150+N155+N157</f>
        <v>#REF!</v>
      </c>
    </row>
    <row r="163" spans="1:18" s="18" customFormat="1" ht="36" customHeight="1" x14ac:dyDescent="0.25">
      <c r="A163" s="377"/>
      <c r="B163" s="116">
        <v>1</v>
      </c>
      <c r="C163" s="32">
        <f t="shared" si="40"/>
        <v>35.984999999999999</v>
      </c>
      <c r="D163" s="16" t="s">
        <v>121</v>
      </c>
      <c r="E163" s="38">
        <v>500</v>
      </c>
      <c r="F163" s="32">
        <f>35985/1000</f>
        <v>35.984999999999999</v>
      </c>
      <c r="G163" s="104">
        <v>0</v>
      </c>
      <c r="H163" s="104">
        <v>0</v>
      </c>
      <c r="I163" s="9" t="str">
        <f t="shared" si="39"/>
        <v>Бупівакаїн / Bucain 0,5% 5mg/ml 250mg/50ml флакон, флак.</v>
      </c>
      <c r="J163" s="69">
        <f t="shared" si="37"/>
        <v>0</v>
      </c>
      <c r="K163" s="67">
        <v>35.984999999999999</v>
      </c>
    </row>
    <row r="164" spans="1:18" s="18" customFormat="1" ht="36" customHeight="1" x14ac:dyDescent="0.25">
      <c r="A164" s="377"/>
      <c r="B164" s="116">
        <v>1</v>
      </c>
      <c r="C164" s="32">
        <f t="shared" si="40"/>
        <v>4.2979840000000005</v>
      </c>
      <c r="D164" s="16" t="s">
        <v>120</v>
      </c>
      <c r="E164" s="38">
        <v>100</v>
      </c>
      <c r="F164" s="32">
        <f>4297.984/1000</f>
        <v>4.2979840000000005</v>
      </c>
      <c r="G164" s="104">
        <v>0</v>
      </c>
      <c r="H164" s="104">
        <v>0</v>
      </c>
      <c r="I164" s="9" t="str">
        <f t="shared" si="39"/>
        <v>Бупівакаїн / Bucain 0,25% 2,5mg/ml 50mg/20ml флакон 20мл, флак.</v>
      </c>
      <c r="J164" s="69">
        <f t="shared" si="37"/>
        <v>0</v>
      </c>
      <c r="K164" s="67">
        <f>F164</f>
        <v>4.2979840000000005</v>
      </c>
    </row>
    <row r="165" spans="1:18" s="18" customFormat="1" ht="36" customHeight="1" x14ac:dyDescent="0.25">
      <c r="A165" s="377"/>
      <c r="B165" s="116">
        <v>1</v>
      </c>
      <c r="C165" s="32">
        <f t="shared" si="40"/>
        <v>4.798</v>
      </c>
      <c r="D165" s="16" t="s">
        <v>122</v>
      </c>
      <c r="E165" s="38">
        <v>100</v>
      </c>
      <c r="F165" s="32">
        <f>4798/1000</f>
        <v>4.798</v>
      </c>
      <c r="G165" s="104">
        <v>0</v>
      </c>
      <c r="H165" s="104">
        <v>0</v>
      </c>
      <c r="I165" s="9" t="str">
        <f t="shared" si="39"/>
        <v>Бупівакаїн / Bucain 0,25% 2,5mg/ml 50mg/20ml бут., флак.</v>
      </c>
      <c r="J165" s="69">
        <f>F165-K165</f>
        <v>0</v>
      </c>
      <c r="K165" s="67">
        <f>F165</f>
        <v>4.798</v>
      </c>
    </row>
    <row r="166" spans="1:18" s="18" customFormat="1" ht="36" customHeight="1" thickBot="1" x14ac:dyDescent="0.3">
      <c r="A166" s="377"/>
      <c r="B166" s="118">
        <v>1</v>
      </c>
      <c r="C166" s="34">
        <f t="shared" si="40"/>
        <v>7.2</v>
      </c>
      <c r="D166" s="35" t="s">
        <v>123</v>
      </c>
      <c r="E166" s="39">
        <v>7200</v>
      </c>
      <c r="F166" s="34">
        <f>7200/1000</f>
        <v>7.2</v>
      </c>
      <c r="G166" s="113">
        <v>0</v>
      </c>
      <c r="H166" s="113">
        <v>0</v>
      </c>
      <c r="I166" s="21" t="str">
        <f t="shared" si="39"/>
        <v>Вітаміни / Мінісан 5 мкг 200МЕ (віт.Д3), шт.</v>
      </c>
      <c r="J166" s="71">
        <f>F166-K166</f>
        <v>7.2</v>
      </c>
      <c r="K166" s="72">
        <v>0</v>
      </c>
    </row>
    <row r="167" spans="1:18" s="18" customFormat="1" ht="47.25" customHeight="1" x14ac:dyDescent="0.25">
      <c r="A167" s="377"/>
      <c r="B167" s="437" t="s">
        <v>61</v>
      </c>
      <c r="C167" s="438"/>
      <c r="D167" s="438"/>
      <c r="E167" s="439"/>
      <c r="F167" s="22">
        <f>F168+F169</f>
        <v>21.4</v>
      </c>
      <c r="G167" s="368" t="s">
        <v>61</v>
      </c>
      <c r="H167" s="368"/>
      <c r="I167" s="368"/>
      <c r="J167" s="73">
        <f>J168+J169</f>
        <v>21.4</v>
      </c>
      <c r="K167" s="136">
        <v>0</v>
      </c>
    </row>
    <row r="168" spans="1:18" s="18" customFormat="1" ht="30.75" customHeight="1" x14ac:dyDescent="0.25">
      <c r="A168" s="377"/>
      <c r="B168" s="116">
        <v>1</v>
      </c>
      <c r="C168" s="32">
        <f t="shared" ref="C168:C169" si="41">F167:F168</f>
        <v>20</v>
      </c>
      <c r="D168" s="37" t="s">
        <v>124</v>
      </c>
      <c r="E168" s="38">
        <v>2</v>
      </c>
      <c r="F168" s="137">
        <f>20000/1000</f>
        <v>20</v>
      </c>
      <c r="G168" s="104">
        <v>0</v>
      </c>
      <c r="H168" s="104">
        <v>0</v>
      </c>
      <c r="I168" s="9" t="str">
        <f t="shared" ref="I168:I169" si="42">D168</f>
        <v>Ліжко лікарняне Stryker 7600-000-900 Emergency Relief bed</v>
      </c>
      <c r="J168" s="64">
        <f t="shared" ref="J168:J169" si="43">F168</f>
        <v>20</v>
      </c>
      <c r="K168" s="138">
        <v>0</v>
      </c>
    </row>
    <row r="169" spans="1:18" s="18" customFormat="1" ht="30.75" customHeight="1" thickBot="1" x14ac:dyDescent="0.3">
      <c r="A169" s="377"/>
      <c r="B169" s="117">
        <v>1</v>
      </c>
      <c r="C169" s="85">
        <f t="shared" si="41"/>
        <v>1.4</v>
      </c>
      <c r="D169" s="96" t="s">
        <v>125</v>
      </c>
      <c r="E169" s="97">
        <v>2</v>
      </c>
      <c r="F169" s="139">
        <f>1400/1000</f>
        <v>1.4</v>
      </c>
      <c r="G169" s="105">
        <v>0</v>
      </c>
      <c r="H169" s="105">
        <v>0</v>
      </c>
      <c r="I169" s="13" t="str">
        <f t="shared" si="42"/>
        <v>Матрац</v>
      </c>
      <c r="J169" s="75">
        <f t="shared" si="43"/>
        <v>1.4</v>
      </c>
      <c r="K169" s="140">
        <v>0</v>
      </c>
    </row>
    <row r="170" spans="1:18" s="18" customFormat="1" ht="54" customHeight="1" x14ac:dyDescent="0.35">
      <c r="A170" s="377"/>
      <c r="B170" s="367" t="s">
        <v>56</v>
      </c>
      <c r="C170" s="368"/>
      <c r="D170" s="368"/>
      <c r="E170" s="368"/>
      <c r="F170" s="29">
        <f>F171+F172+F173+F174</f>
        <v>4.0000000000000001E-3</v>
      </c>
      <c r="G170" s="368" t="s">
        <v>56</v>
      </c>
      <c r="H170" s="368"/>
      <c r="I170" s="368"/>
      <c r="J170" s="103">
        <f>J171+J172+J173+J174</f>
        <v>4.0000000000000001E-3</v>
      </c>
      <c r="K170" s="136">
        <v>0</v>
      </c>
      <c r="N170" s="126"/>
      <c r="O170" s="126"/>
      <c r="P170" s="126"/>
      <c r="Q170" s="126"/>
      <c r="R170" s="126"/>
    </row>
    <row r="171" spans="1:18" s="18" customFormat="1" ht="33.75" customHeight="1" x14ac:dyDescent="0.35">
      <c r="A171" s="377"/>
      <c r="B171" s="116">
        <v>1</v>
      </c>
      <c r="C171" s="7">
        <f t="shared" ref="C171" si="44">F170:F171</f>
        <v>1E-3</v>
      </c>
      <c r="D171" s="16" t="s">
        <v>126</v>
      </c>
      <c r="E171" s="41">
        <v>1</v>
      </c>
      <c r="F171" s="40">
        <f>1/1000</f>
        <v>1E-3</v>
      </c>
      <c r="G171" s="104">
        <v>0</v>
      </c>
      <c r="H171" s="104">
        <v>0</v>
      </c>
      <c r="I171" s="9" t="str">
        <f t="shared" ref="I171:I174" si="45">D171</f>
        <v>Модуль для монітора пацієнта</v>
      </c>
      <c r="J171" s="69">
        <f t="shared" ref="J171:J179" si="46">F171</f>
        <v>1E-3</v>
      </c>
      <c r="K171" s="138">
        <v>0</v>
      </c>
      <c r="N171" s="126"/>
      <c r="O171" s="126"/>
      <c r="P171" s="126"/>
      <c r="Q171" s="126"/>
      <c r="R171" s="126"/>
    </row>
    <row r="172" spans="1:18" s="18" customFormat="1" ht="33.75" customHeight="1" x14ac:dyDescent="0.35">
      <c r="A172" s="377"/>
      <c r="B172" s="116">
        <v>1</v>
      </c>
      <c r="C172" s="7">
        <f>F171:F172</f>
        <v>1E-3</v>
      </c>
      <c r="D172" s="16" t="s">
        <v>127</v>
      </c>
      <c r="E172" s="41">
        <v>1</v>
      </c>
      <c r="F172" s="40">
        <f>1/1000</f>
        <v>1E-3</v>
      </c>
      <c r="G172" s="104">
        <v>0</v>
      </c>
      <c r="H172" s="104">
        <v>0</v>
      </c>
      <c r="I172" s="9" t="str">
        <f>D172</f>
        <v>Апарат моніторінгу кардіотокографії</v>
      </c>
      <c r="J172" s="69">
        <f>F172</f>
        <v>1E-3</v>
      </c>
      <c r="K172" s="138">
        <v>0</v>
      </c>
      <c r="N172" s="126"/>
      <c r="O172" s="126"/>
      <c r="P172" s="126"/>
      <c r="Q172" s="126"/>
      <c r="R172" s="126"/>
    </row>
    <row r="173" spans="1:18" s="18" customFormat="1" ht="33.75" customHeight="1" x14ac:dyDescent="0.35">
      <c r="A173" s="377"/>
      <c r="B173" s="116">
        <v>1</v>
      </c>
      <c r="C173" s="7">
        <f>F172:F173</f>
        <v>1E-3</v>
      </c>
      <c r="D173" s="16" t="s">
        <v>128</v>
      </c>
      <c r="E173" s="41">
        <v>1</v>
      </c>
      <c r="F173" s="40">
        <f>1/1000</f>
        <v>1E-3</v>
      </c>
      <c r="G173" s="104">
        <v>0</v>
      </c>
      <c r="H173" s="104">
        <v>0</v>
      </c>
      <c r="I173" s="9" t="str">
        <f>D173</f>
        <v>Апарат штучної вентиляції легенів Venslstor VG70 E TIP 608/n/a</v>
      </c>
      <c r="J173" s="69">
        <f>F173</f>
        <v>1E-3</v>
      </c>
      <c r="K173" s="138">
        <v>0</v>
      </c>
      <c r="N173" s="126"/>
      <c r="O173" s="126"/>
      <c r="P173" s="126"/>
      <c r="Q173" s="126"/>
      <c r="R173" s="126"/>
    </row>
    <row r="174" spans="1:18" s="18" customFormat="1" ht="51" customHeight="1" thickBot="1" x14ac:dyDescent="0.4">
      <c r="A174" s="433"/>
      <c r="B174" s="118">
        <v>1</v>
      </c>
      <c r="C174" s="19">
        <f>F173:F174</f>
        <v>1E-3</v>
      </c>
      <c r="D174" s="35" t="s">
        <v>129</v>
      </c>
      <c r="E174" s="42">
        <v>1</v>
      </c>
      <c r="F174" s="98">
        <f>1/1000</f>
        <v>1E-3</v>
      </c>
      <c r="G174" s="113">
        <v>0</v>
      </c>
      <c r="H174" s="113">
        <v>0</v>
      </c>
      <c r="I174" s="21" t="str">
        <f t="shared" si="45"/>
        <v>Обладнання /Апарат моніторингу кардіографії /Candiolocodraphymonitiring device n/a</v>
      </c>
      <c r="J174" s="99">
        <f t="shared" si="46"/>
        <v>1E-3</v>
      </c>
      <c r="K174" s="149">
        <v>0</v>
      </c>
      <c r="N174" s="126"/>
      <c r="O174" s="126"/>
      <c r="P174" s="126"/>
      <c r="Q174" s="126"/>
      <c r="R174" s="126"/>
    </row>
    <row r="175" spans="1:18" s="18" customFormat="1" ht="42.75" customHeight="1" x14ac:dyDescent="0.35">
      <c r="A175" s="431" t="s">
        <v>130</v>
      </c>
      <c r="B175" s="367" t="s">
        <v>61</v>
      </c>
      <c r="C175" s="368"/>
      <c r="D175" s="368"/>
      <c r="E175" s="368"/>
      <c r="F175" s="22">
        <f>F176+F177+F178+F179</f>
        <v>161.50385</v>
      </c>
      <c r="G175" s="368" t="s">
        <v>61</v>
      </c>
      <c r="H175" s="368"/>
      <c r="I175" s="368"/>
      <c r="J175" s="74">
        <f t="shared" si="46"/>
        <v>161.50385</v>
      </c>
      <c r="K175" s="136">
        <v>0</v>
      </c>
      <c r="N175" s="126"/>
      <c r="O175" s="126"/>
      <c r="P175" s="126"/>
      <c r="Q175" s="126"/>
      <c r="R175" s="126"/>
    </row>
    <row r="176" spans="1:18" s="18" customFormat="1" ht="44.25" customHeight="1" x14ac:dyDescent="0.35">
      <c r="A176" s="432"/>
      <c r="B176" s="116">
        <v>1</v>
      </c>
      <c r="C176" s="7">
        <f t="shared" ref="C176:C179" si="47">F175:F176</f>
        <v>30.103400000000001</v>
      </c>
      <c r="D176" s="16" t="s">
        <v>131</v>
      </c>
      <c r="E176" s="41">
        <v>20</v>
      </c>
      <c r="F176" s="7">
        <f>30103.4/1000</f>
        <v>30.103400000000001</v>
      </c>
      <c r="G176" s="104">
        <v>0</v>
      </c>
      <c r="H176" s="104">
        <v>0</v>
      </c>
      <c r="I176" s="9" t="str">
        <f t="shared" ref="I176:I179" si="48">D176</f>
        <v>Сонячний світильник ScheiderElectric mobiya Lite AEP LL01-5100</v>
      </c>
      <c r="J176" s="64">
        <f t="shared" si="46"/>
        <v>30.103400000000001</v>
      </c>
      <c r="K176" s="138">
        <v>0</v>
      </c>
      <c r="N176" s="126"/>
      <c r="O176" s="126"/>
      <c r="P176" s="126"/>
      <c r="Q176" s="126"/>
      <c r="R176" s="126"/>
    </row>
    <row r="177" spans="1:19" s="18" customFormat="1" ht="44.25" customHeight="1" x14ac:dyDescent="0.35">
      <c r="A177" s="432"/>
      <c r="B177" s="116">
        <v>1</v>
      </c>
      <c r="C177" s="7">
        <f t="shared" si="47"/>
        <v>3.1449000000000003</v>
      </c>
      <c r="D177" s="16" t="s">
        <v>132</v>
      </c>
      <c r="E177" s="41">
        <v>10</v>
      </c>
      <c r="F177" s="7">
        <f>3144.9/1000</f>
        <v>3.1449000000000003</v>
      </c>
      <c r="G177" s="104">
        <v>0</v>
      </c>
      <c r="H177" s="104">
        <v>0</v>
      </c>
      <c r="I177" s="9" t="str">
        <f t="shared" si="48"/>
        <v xml:space="preserve"> Обігрівач конвекторний BY 1208</v>
      </c>
      <c r="J177" s="64">
        <f t="shared" si="46"/>
        <v>3.1449000000000003</v>
      </c>
      <c r="K177" s="138">
        <v>0</v>
      </c>
      <c r="N177" s="126"/>
      <c r="O177" s="126"/>
      <c r="P177" s="126"/>
      <c r="Q177" s="126"/>
      <c r="R177" s="126"/>
    </row>
    <row r="178" spans="1:19" s="18" customFormat="1" ht="44.25" customHeight="1" x14ac:dyDescent="0.25">
      <c r="A178" s="432"/>
      <c r="B178" s="116">
        <v>1</v>
      </c>
      <c r="C178" s="7">
        <f t="shared" si="47"/>
        <v>57.242750000000001</v>
      </c>
      <c r="D178" s="16" t="s">
        <v>133</v>
      </c>
      <c r="E178" s="41">
        <v>5</v>
      </c>
      <c r="F178" s="7">
        <f>57242.75/1000</f>
        <v>57.242750000000001</v>
      </c>
      <c r="G178" s="104">
        <v>0</v>
      </c>
      <c r="H178" s="104">
        <v>0</v>
      </c>
      <c r="I178" s="9" t="str">
        <f t="shared" si="48"/>
        <v>Нагрівач мат Cable lhpe 420 W A 691673</v>
      </c>
      <c r="J178" s="64">
        <f t="shared" si="46"/>
        <v>57.242750000000001</v>
      </c>
      <c r="K178" s="138">
        <v>0</v>
      </c>
    </row>
    <row r="179" spans="1:19" s="18" customFormat="1" ht="44.25" customHeight="1" thickBot="1" x14ac:dyDescent="0.3">
      <c r="A179" s="432"/>
      <c r="B179" s="117">
        <v>1</v>
      </c>
      <c r="C179" s="12">
        <f t="shared" si="47"/>
        <v>71.012799999999999</v>
      </c>
      <c r="D179" s="28" t="s">
        <v>134</v>
      </c>
      <c r="E179" s="100">
        <v>5</v>
      </c>
      <c r="F179" s="12">
        <f>71012.8/1000</f>
        <v>71.012799999999999</v>
      </c>
      <c r="G179" s="105">
        <v>0</v>
      </c>
      <c r="H179" s="105">
        <v>0</v>
      </c>
      <c r="I179" s="13" t="str">
        <f t="shared" si="48"/>
        <v>Нагрівач мат Cable lhpe 520 W A 691674</v>
      </c>
      <c r="J179" s="75">
        <f t="shared" si="46"/>
        <v>71.012799999999999</v>
      </c>
      <c r="K179" s="140">
        <v>0</v>
      </c>
    </row>
    <row r="180" spans="1:19" s="18" customFormat="1" ht="43.5" customHeight="1" x14ac:dyDescent="0.25">
      <c r="A180" s="432"/>
      <c r="B180" s="367" t="s">
        <v>56</v>
      </c>
      <c r="C180" s="368"/>
      <c r="D180" s="368"/>
      <c r="E180" s="368"/>
      <c r="F180" s="22">
        <f>F181</f>
        <v>20.066759999999999</v>
      </c>
      <c r="G180" s="407" t="s">
        <v>56</v>
      </c>
      <c r="H180" s="408"/>
      <c r="I180" s="409"/>
      <c r="J180" s="73">
        <f>J181</f>
        <v>20.066759999999999</v>
      </c>
      <c r="K180" s="136">
        <v>0</v>
      </c>
    </row>
    <row r="181" spans="1:19" s="18" customFormat="1" ht="69.75" customHeight="1" thickBot="1" x14ac:dyDescent="0.3">
      <c r="A181" s="432"/>
      <c r="B181" s="117">
        <v>1</v>
      </c>
      <c r="C181" s="12">
        <f t="shared" ref="C181" si="49">F180:F181</f>
        <v>20.066759999999999</v>
      </c>
      <c r="D181" s="13" t="s">
        <v>135</v>
      </c>
      <c r="E181" s="14">
        <v>1</v>
      </c>
      <c r="F181" s="12">
        <f>20066.76/1000</f>
        <v>20.066759999999999</v>
      </c>
      <c r="G181" s="105">
        <v>0</v>
      </c>
      <c r="H181" s="105">
        <v>0</v>
      </c>
      <c r="I181" s="13" t="str">
        <f t="shared" ref="I181" si="50">D181</f>
        <v xml:space="preserve"> Продовжувач на катушці Legrand H07RNF 3g2/5mm)(25m)50758</v>
      </c>
      <c r="J181" s="75">
        <f t="shared" ref="J181" si="51">F181</f>
        <v>20.066759999999999</v>
      </c>
      <c r="K181" s="140">
        <v>0</v>
      </c>
    </row>
    <row r="182" spans="1:19" s="18" customFormat="1" ht="62.25" customHeight="1" x14ac:dyDescent="0.25">
      <c r="A182" s="374" t="s">
        <v>136</v>
      </c>
      <c r="B182" s="402" t="s">
        <v>61</v>
      </c>
      <c r="C182" s="403"/>
      <c r="D182" s="403"/>
      <c r="E182" s="43"/>
      <c r="F182" s="22">
        <f>F184+F185+F186+F183</f>
        <v>66.878050000000002</v>
      </c>
      <c r="G182" s="404" t="s">
        <v>61</v>
      </c>
      <c r="H182" s="405"/>
      <c r="I182" s="406"/>
      <c r="J182" s="82">
        <f>J184+J185+J186+J183</f>
        <v>66.878050000000002</v>
      </c>
      <c r="K182" s="136">
        <v>0</v>
      </c>
    </row>
    <row r="183" spans="1:19" ht="54.75" customHeight="1" x14ac:dyDescent="0.25">
      <c r="A183" s="375"/>
      <c r="B183" s="119">
        <v>1</v>
      </c>
      <c r="C183" s="45">
        <f>F181:F183</f>
        <v>15</v>
      </c>
      <c r="D183" s="30" t="s">
        <v>137</v>
      </c>
      <c r="E183" s="46">
        <v>1</v>
      </c>
      <c r="F183" s="7">
        <f>15000/1000</f>
        <v>15</v>
      </c>
      <c r="G183" s="114">
        <v>0</v>
      </c>
      <c r="H183" s="104">
        <v>0</v>
      </c>
      <c r="I183" s="9" t="str">
        <f t="shared" ref="I183:I186" si="52">D183</f>
        <v>Бетонна плита під генератор з монтажем</v>
      </c>
      <c r="J183" s="77">
        <f t="shared" ref="J183:J186" si="53">F183</f>
        <v>15</v>
      </c>
      <c r="K183" s="138">
        <v>0</v>
      </c>
    </row>
    <row r="184" spans="1:19" ht="48" customHeight="1" x14ac:dyDescent="0.25">
      <c r="A184" s="375"/>
      <c r="B184" s="116">
        <v>1</v>
      </c>
      <c r="C184" s="7">
        <f>F182:F184</f>
        <v>38.031349999999996</v>
      </c>
      <c r="D184" s="47" t="s">
        <v>138</v>
      </c>
      <c r="E184" s="48">
        <v>5</v>
      </c>
      <c r="F184" s="7">
        <f>38031.35/1000</f>
        <v>38.031349999999996</v>
      </c>
      <c r="G184" s="104">
        <v>0</v>
      </c>
      <c r="H184" s="104">
        <v>0</v>
      </c>
      <c r="I184" s="9" t="str">
        <f t="shared" si="52"/>
        <v>Комплект грілка - переноска для немовлят / Embrace Nest Infant Warmer Starter</v>
      </c>
      <c r="J184" s="77">
        <f t="shared" si="53"/>
        <v>38.031349999999996</v>
      </c>
      <c r="K184" s="138">
        <v>0</v>
      </c>
    </row>
    <row r="185" spans="1:19" ht="38.25" customHeight="1" x14ac:dyDescent="0.25">
      <c r="A185" s="375"/>
      <c r="B185" s="116">
        <v>1</v>
      </c>
      <c r="C185" s="7">
        <f t="shared" ref="C185:C186" si="54">F184:F185</f>
        <v>6.4251000000000005</v>
      </c>
      <c r="D185" s="47" t="s">
        <v>139</v>
      </c>
      <c r="E185" s="49">
        <v>5</v>
      </c>
      <c r="F185" s="7">
        <f>6425.1/1000</f>
        <v>6.4251000000000005</v>
      </c>
      <c r="G185" s="104">
        <v>0</v>
      </c>
      <c r="H185" s="104">
        <v>0</v>
      </c>
      <c r="I185" s="9" t="str">
        <f t="shared" si="52"/>
        <v>Переноска  /Baby Wrap Embrace</v>
      </c>
      <c r="J185" s="77">
        <f t="shared" si="53"/>
        <v>6.4251000000000005</v>
      </c>
      <c r="K185" s="138">
        <v>0</v>
      </c>
    </row>
    <row r="186" spans="1:19" ht="84.75" customHeight="1" thickBot="1" x14ac:dyDescent="0.3">
      <c r="A186" s="375"/>
      <c r="B186" s="117">
        <v>1</v>
      </c>
      <c r="C186" s="12">
        <f t="shared" si="54"/>
        <v>7.4216000000000006</v>
      </c>
      <c r="D186" s="101" t="s">
        <v>140</v>
      </c>
      <c r="E186" s="102">
        <v>5</v>
      </c>
      <c r="F186" s="12">
        <f>7421.6/1000</f>
        <v>7.4216000000000006</v>
      </c>
      <c r="G186" s="105">
        <v>0</v>
      </c>
      <c r="H186" s="105">
        <v>0</v>
      </c>
      <c r="I186" s="13" t="str">
        <f t="shared" si="52"/>
        <v>Тепловий елемент / Warm Pack Embrace</v>
      </c>
      <c r="J186" s="81">
        <f t="shared" si="53"/>
        <v>7.4216000000000006</v>
      </c>
      <c r="K186" s="140">
        <v>0</v>
      </c>
    </row>
    <row r="187" spans="1:19" ht="61.5" customHeight="1" thickBot="1" x14ac:dyDescent="0.3">
      <c r="A187" s="382" t="s">
        <v>141</v>
      </c>
      <c r="B187" s="383"/>
      <c r="C187" s="383"/>
      <c r="D187" s="383"/>
      <c r="E187" s="384"/>
      <c r="F187" s="151">
        <f>F5+F24+F74+F77+F91+F94+F98+F102+F167+F170+F175+F180+F182</f>
        <v>810.29581400000018</v>
      </c>
      <c r="G187" s="385" t="s">
        <v>141</v>
      </c>
      <c r="H187" s="386"/>
      <c r="I187" s="387"/>
      <c r="J187" s="152">
        <f>J5+J24+J74+J77+J91+J94+J98+J102+J167+J170+J175+J180+J182</f>
        <v>489.31038999999998</v>
      </c>
      <c r="K187" s="153">
        <f>K5+K24+K74+K77+K91+K94+K98+K102+K167+K170+K175+K180+K182</f>
        <v>368.47016399999995</v>
      </c>
    </row>
    <row r="189" spans="1:19" s="121" customFormat="1" ht="18" x14ac:dyDescent="0.35">
      <c r="B189" s="122"/>
      <c r="C189" s="51"/>
      <c r="D189" s="123" t="s">
        <v>142</v>
      </c>
      <c r="E189" s="124"/>
      <c r="F189" s="51"/>
      <c r="G189" s="122"/>
      <c r="H189" s="122"/>
      <c r="I189" s="125"/>
      <c r="J189" s="84"/>
      <c r="K189" s="120"/>
      <c r="L189" s="126"/>
      <c r="M189" s="126"/>
      <c r="N189" s="18"/>
      <c r="O189" s="18"/>
      <c r="P189" s="18"/>
      <c r="Q189" s="18"/>
      <c r="R189" s="18"/>
      <c r="S189" s="126"/>
    </row>
    <row r="190" spans="1:19" s="121" customFormat="1" ht="18" x14ac:dyDescent="0.35">
      <c r="B190" s="122"/>
      <c r="C190" s="51"/>
      <c r="D190" s="125"/>
      <c r="E190" s="124"/>
      <c r="F190" s="51"/>
      <c r="G190" s="122"/>
      <c r="H190" s="122"/>
      <c r="I190" s="125"/>
      <c r="J190" s="84"/>
      <c r="K190" s="120"/>
      <c r="L190" s="126"/>
      <c r="M190" s="126"/>
      <c r="N190" s="18"/>
      <c r="O190" s="18"/>
      <c r="P190" s="18"/>
      <c r="Q190" s="18"/>
      <c r="R190" s="18"/>
      <c r="S190" s="126"/>
    </row>
    <row r="191" spans="1:19" s="121" customFormat="1" ht="30" customHeight="1" x14ac:dyDescent="0.35">
      <c r="B191" s="122"/>
      <c r="C191" s="51"/>
      <c r="D191" s="127" t="s">
        <v>143</v>
      </c>
      <c r="E191" s="124" t="s">
        <v>144</v>
      </c>
      <c r="F191" s="51"/>
      <c r="G191" s="122" t="s">
        <v>145</v>
      </c>
      <c r="H191" s="122"/>
      <c r="I191" s="125"/>
      <c r="J191" s="84"/>
      <c r="K191" s="120"/>
      <c r="L191" s="126"/>
      <c r="M191" s="126"/>
      <c r="N191" s="18"/>
      <c r="O191" s="18"/>
      <c r="P191" s="18"/>
      <c r="Q191" s="18"/>
      <c r="R191" s="18"/>
      <c r="S191" s="126"/>
    </row>
    <row r="192" spans="1:19" s="121" customFormat="1" ht="18" x14ac:dyDescent="0.35">
      <c r="B192" s="122"/>
      <c r="C192" s="51"/>
      <c r="D192" s="125"/>
      <c r="E192" s="124"/>
      <c r="F192" s="51"/>
      <c r="G192" s="122"/>
      <c r="H192" s="122"/>
      <c r="I192" s="125"/>
      <c r="J192" s="84"/>
      <c r="K192" s="120"/>
      <c r="L192" s="126"/>
      <c r="M192" s="126"/>
      <c r="N192" s="18"/>
      <c r="O192" s="18"/>
      <c r="P192" s="18"/>
      <c r="Q192" s="18"/>
      <c r="R192" s="18"/>
      <c r="S192" s="126"/>
    </row>
    <row r="193" spans="2:19" s="121" customFormat="1" ht="18" x14ac:dyDescent="0.35">
      <c r="B193" s="122"/>
      <c r="C193" s="51"/>
      <c r="D193" s="123" t="s">
        <v>146</v>
      </c>
      <c r="E193" s="124"/>
      <c r="F193" s="51"/>
      <c r="G193" s="122"/>
      <c r="H193" s="122"/>
      <c r="I193" s="125"/>
      <c r="J193" s="84"/>
      <c r="K193" s="120"/>
      <c r="L193" s="126"/>
      <c r="M193" s="126"/>
      <c r="N193" s="18"/>
      <c r="O193" s="18"/>
      <c r="P193" s="18"/>
      <c r="Q193" s="18"/>
      <c r="R193" s="18"/>
      <c r="S193" s="126"/>
    </row>
    <row r="194" spans="2:19" s="121" customFormat="1" ht="43.5" customHeight="1" x14ac:dyDescent="0.35">
      <c r="B194" s="122"/>
      <c r="C194" s="51"/>
      <c r="D194" s="128" t="s">
        <v>147</v>
      </c>
      <c r="E194" s="124" t="s">
        <v>148</v>
      </c>
      <c r="F194" s="51"/>
      <c r="G194" s="122" t="s">
        <v>149</v>
      </c>
      <c r="H194" s="122"/>
      <c r="I194" s="125"/>
      <c r="J194" s="84"/>
      <c r="K194" s="120"/>
      <c r="L194" s="126"/>
      <c r="M194" s="126"/>
      <c r="N194" s="18"/>
      <c r="O194" s="18"/>
      <c r="P194" s="18"/>
      <c r="Q194" s="18"/>
      <c r="R194" s="18"/>
      <c r="S194" s="126"/>
    </row>
    <row r="195" spans="2:19" s="121" customFormat="1" ht="42.75" customHeight="1" x14ac:dyDescent="0.35">
      <c r="B195" s="122"/>
      <c r="C195" s="51"/>
      <c r="D195" s="128" t="s">
        <v>150</v>
      </c>
      <c r="E195" s="124" t="s">
        <v>148</v>
      </c>
      <c r="F195" s="51"/>
      <c r="G195" s="122" t="s">
        <v>151</v>
      </c>
      <c r="H195" s="122"/>
      <c r="I195" s="125"/>
      <c r="J195" s="84"/>
      <c r="K195" s="120"/>
      <c r="L195" s="126"/>
      <c r="M195" s="126"/>
      <c r="N195" s="18"/>
      <c r="O195" s="18"/>
      <c r="P195" s="18"/>
      <c r="Q195" s="18"/>
      <c r="R195" s="18"/>
      <c r="S195" s="126"/>
    </row>
    <row r="196" spans="2:19" s="121" customFormat="1" ht="55.5" customHeight="1" x14ac:dyDescent="0.35">
      <c r="B196" s="122"/>
      <c r="C196" s="51"/>
      <c r="D196" s="128" t="s">
        <v>152</v>
      </c>
      <c r="E196" s="124" t="s">
        <v>148</v>
      </c>
      <c r="F196" s="51"/>
      <c r="G196" s="122" t="s">
        <v>153</v>
      </c>
      <c r="H196" s="122"/>
      <c r="I196" s="125"/>
      <c r="J196" s="84"/>
      <c r="K196" s="120"/>
      <c r="L196" s="126"/>
      <c r="M196" s="126"/>
      <c r="N196" s="18"/>
      <c r="O196" s="18"/>
      <c r="P196" s="18"/>
      <c r="Q196" s="18"/>
      <c r="R196" s="18"/>
      <c r="S196" s="126"/>
    </row>
    <row r="197" spans="2:19" x14ac:dyDescent="0.25">
      <c r="D197" s="3"/>
    </row>
  </sheetData>
  <mergeCells count="72">
    <mergeCell ref="A1:K1"/>
    <mergeCell ref="A2:A3"/>
    <mergeCell ref="B2:C2"/>
    <mergeCell ref="D2:D3"/>
    <mergeCell ref="E2:E3"/>
    <mergeCell ref="F2:F3"/>
    <mergeCell ref="G2:J2"/>
    <mergeCell ref="K2:K3"/>
    <mergeCell ref="B59:E59"/>
    <mergeCell ref="G59:I59"/>
    <mergeCell ref="A4:K4"/>
    <mergeCell ref="A5:A23"/>
    <mergeCell ref="B5:E5"/>
    <mergeCell ref="G5:I5"/>
    <mergeCell ref="A24:A47"/>
    <mergeCell ref="B24:E24"/>
    <mergeCell ref="G24:I24"/>
    <mergeCell ref="B25:E25"/>
    <mergeCell ref="G25:I25"/>
    <mergeCell ref="B51:E51"/>
    <mergeCell ref="G51:I51"/>
    <mergeCell ref="B54:E54"/>
    <mergeCell ref="G54:I54"/>
    <mergeCell ref="B57:E57"/>
    <mergeCell ref="G57:I57"/>
    <mergeCell ref="B32:E32"/>
    <mergeCell ref="G32:I32"/>
    <mergeCell ref="B40:E40"/>
    <mergeCell ref="G40:I40"/>
    <mergeCell ref="B48:E48"/>
    <mergeCell ref="G48:I48"/>
    <mergeCell ref="B68:E68"/>
    <mergeCell ref="G68:I68"/>
    <mergeCell ref="B70:E70"/>
    <mergeCell ref="G70:I70"/>
    <mergeCell ref="A74:A97"/>
    <mergeCell ref="B74:E74"/>
    <mergeCell ref="G74:I74"/>
    <mergeCell ref="B77:D77"/>
    <mergeCell ref="G77:I77"/>
    <mergeCell ref="B91:E91"/>
    <mergeCell ref="A48:A73"/>
    <mergeCell ref="G91:I91"/>
    <mergeCell ref="B94:E94"/>
    <mergeCell ref="G94:I94"/>
    <mergeCell ref="B65:E65"/>
    <mergeCell ref="G65:I65"/>
    <mergeCell ref="A98:A125"/>
    <mergeCell ref="B98:E98"/>
    <mergeCell ref="G98:I98"/>
    <mergeCell ref="B102:E102"/>
    <mergeCell ref="G102:I102"/>
    <mergeCell ref="B103:E103"/>
    <mergeCell ref="G103:I103"/>
    <mergeCell ref="A126:A150"/>
    <mergeCell ref="B126:E126"/>
    <mergeCell ref="G126:I126"/>
    <mergeCell ref="A151:A174"/>
    <mergeCell ref="B167:E167"/>
    <mergeCell ref="G167:I167"/>
    <mergeCell ref="B170:E170"/>
    <mergeCell ref="G170:I170"/>
    <mergeCell ref="A187:E187"/>
    <mergeCell ref="G187:I187"/>
    <mergeCell ref="A175:A181"/>
    <mergeCell ref="B175:E175"/>
    <mergeCell ref="G175:I175"/>
    <mergeCell ref="B180:E180"/>
    <mergeCell ref="G180:I180"/>
    <mergeCell ref="A182:A186"/>
    <mergeCell ref="B182:D182"/>
    <mergeCell ref="G182:I182"/>
  </mergeCells>
  <pageMargins left="0" right="0" top="0" bottom="0" header="0" footer="0"/>
  <pageSetup paperSize="9" scale="43" orientation="landscape" r:id="rId1"/>
  <rowBreaks count="7" manualBreakCount="7">
    <brk id="40" max="22" man="1"/>
    <brk id="47" max="22" man="1"/>
    <brk id="73" max="22" man="1"/>
    <brk id="97" max="22" man="1"/>
    <brk id="125" max="22" man="1"/>
    <brk id="150" max="22" man="1"/>
    <brk id="174" max="22" man="1"/>
  </rowBreaks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tabSelected="1" view="pageBreakPreview" topLeftCell="A59" zoomScale="60" zoomScaleNormal="80" workbookViewId="0">
      <selection activeCell="S68" sqref="S68"/>
    </sheetView>
  </sheetViews>
  <sheetFormatPr defaultColWidth="9.33203125" defaultRowHeight="15.6" x14ac:dyDescent="0.25"/>
  <cols>
    <col min="1" max="1" width="14.5546875" style="50" customWidth="1"/>
    <col min="2" max="2" width="9.21875" style="115" customWidth="1"/>
    <col min="3" max="3" width="10.77734375" style="51" customWidth="1"/>
    <col min="4" max="4" width="84.77734375" style="2" customWidth="1"/>
    <col min="5" max="5" width="12" style="52" customWidth="1"/>
    <col min="6" max="6" width="17.6640625" style="51" customWidth="1"/>
    <col min="7" max="7" width="13" style="115" customWidth="1"/>
    <col min="8" max="8" width="9" style="115" customWidth="1"/>
    <col min="9" max="9" width="83.33203125" style="2" customWidth="1"/>
    <col min="10" max="10" width="14.44140625" style="84" customWidth="1"/>
    <col min="11" max="11" width="13.77734375" style="120" customWidth="1"/>
    <col min="12" max="12" width="0.77734375" style="18" customWidth="1"/>
    <col min="13" max="13" width="17.44140625" style="18" hidden="1" customWidth="1"/>
    <col min="14" max="14" width="9.33203125" style="18" hidden="1" customWidth="1"/>
    <col min="15" max="16384" width="9.33203125" style="1"/>
  </cols>
  <sheetData>
    <row r="1" spans="1:14" ht="51.75" customHeight="1" thickBot="1" x14ac:dyDescent="0.3">
      <c r="A1" s="419" t="s">
        <v>468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4" s="4" customFormat="1" ht="60.75" customHeight="1" x14ac:dyDescent="0.25">
      <c r="A2" s="348" t="s">
        <v>0</v>
      </c>
      <c r="B2" s="448" t="s">
        <v>1</v>
      </c>
      <c r="C2" s="448"/>
      <c r="D2" s="448" t="s">
        <v>2</v>
      </c>
      <c r="E2" s="450" t="s">
        <v>3</v>
      </c>
      <c r="F2" s="452" t="s">
        <v>4</v>
      </c>
      <c r="G2" s="454" t="s">
        <v>5</v>
      </c>
      <c r="H2" s="455"/>
      <c r="I2" s="455"/>
      <c r="J2" s="456"/>
      <c r="K2" s="457" t="s">
        <v>6</v>
      </c>
      <c r="L2" s="58"/>
      <c r="M2" s="58"/>
      <c r="N2" s="58"/>
    </row>
    <row r="3" spans="1:14" s="4" customFormat="1" ht="69" customHeight="1" thickBot="1" x14ac:dyDescent="0.3">
      <c r="A3" s="349"/>
      <c r="B3" s="131" t="s">
        <v>7</v>
      </c>
      <c r="C3" s="129" t="s">
        <v>8</v>
      </c>
      <c r="D3" s="449"/>
      <c r="E3" s="451"/>
      <c r="F3" s="453"/>
      <c r="G3" s="130" t="s">
        <v>9</v>
      </c>
      <c r="H3" s="132" t="s">
        <v>10</v>
      </c>
      <c r="I3" s="133" t="s">
        <v>11</v>
      </c>
      <c r="J3" s="134" t="s">
        <v>12</v>
      </c>
      <c r="K3" s="458"/>
      <c r="L3" s="58"/>
      <c r="M3" s="58"/>
      <c r="N3" s="58"/>
    </row>
    <row r="4" spans="1:14" ht="27" customHeight="1" thickBot="1" x14ac:dyDescent="0.3">
      <c r="A4" s="426" t="s">
        <v>467</v>
      </c>
      <c r="B4" s="427"/>
      <c r="C4" s="427"/>
      <c r="D4" s="427"/>
      <c r="E4" s="427"/>
      <c r="F4" s="427"/>
      <c r="G4" s="427"/>
      <c r="H4" s="427"/>
      <c r="I4" s="427"/>
      <c r="J4" s="427"/>
      <c r="K4" s="428"/>
    </row>
    <row r="5" spans="1:14" s="6" customFormat="1" ht="34.799999999999997" customHeight="1" x14ac:dyDescent="0.3">
      <c r="A5" s="470" t="s">
        <v>463</v>
      </c>
      <c r="B5" s="339" t="s">
        <v>14</v>
      </c>
      <c r="C5" s="340"/>
      <c r="D5" s="340"/>
      <c r="E5" s="341"/>
      <c r="F5" s="308">
        <f>F6+F7+F8+F9+F10+F11+F12+F13+F14+F15+F16+F17+F18+F19+F20+F21+F22+F23+F24+F25+F26+F27+F28+F29</f>
        <v>1181.306</v>
      </c>
      <c r="G5" s="342" t="s">
        <v>14</v>
      </c>
      <c r="H5" s="340"/>
      <c r="I5" s="341"/>
      <c r="J5" s="308">
        <f>J6+J10+J11+J12+J13+J14+J15+J16+J17+J18+J19+J20+J21+J22+J23+J24+J25+J26</f>
        <v>356.08000000000004</v>
      </c>
      <c r="K5" s="56">
        <f>K7+K8+K9+K20+K27+K28+K29</f>
        <v>825.23299999999995</v>
      </c>
      <c r="L5" s="59"/>
      <c r="M5" s="294" t="s">
        <v>413</v>
      </c>
      <c r="N5" s="59">
        <v>121106.32</v>
      </c>
    </row>
    <row r="6" spans="1:14" ht="21" customHeight="1" x14ac:dyDescent="0.3">
      <c r="A6" s="470"/>
      <c r="B6" s="116">
        <v>0</v>
      </c>
      <c r="C6" s="8">
        <f>F6</f>
        <v>73.998000000000005</v>
      </c>
      <c r="D6" s="322" t="s">
        <v>416</v>
      </c>
      <c r="E6" s="473">
        <v>5</v>
      </c>
      <c r="F6" s="500">
        <v>73.998000000000005</v>
      </c>
      <c r="G6" s="104">
        <v>0</v>
      </c>
      <c r="H6" s="104">
        <v>0</v>
      </c>
      <c r="I6" s="30" t="str">
        <f>D6</f>
        <v>Функціональне ліжко</v>
      </c>
      <c r="J6" s="500">
        <v>74</v>
      </c>
      <c r="K6" s="497" t="s">
        <v>193</v>
      </c>
      <c r="M6" s="297" t="s">
        <v>414</v>
      </c>
      <c r="N6" s="298">
        <v>91006.94</v>
      </c>
    </row>
    <row r="7" spans="1:14" ht="21" customHeight="1" x14ac:dyDescent="0.3">
      <c r="A7" s="470"/>
      <c r="B7" s="116">
        <v>0</v>
      </c>
      <c r="C7" s="8">
        <f t="shared" ref="C7:C29" si="0">F7</f>
        <v>186</v>
      </c>
      <c r="D7" s="323" t="s">
        <v>417</v>
      </c>
      <c r="E7" s="325">
        <v>31</v>
      </c>
      <c r="F7" s="477">
        <v>186</v>
      </c>
      <c r="G7" s="104">
        <v>0</v>
      </c>
      <c r="H7" s="104">
        <v>0</v>
      </c>
      <c r="I7" s="30" t="str">
        <f t="shared" ref="I7:I21" si="1">D7</f>
        <v>Сонячні панелі</v>
      </c>
      <c r="J7" s="477" t="s">
        <v>193</v>
      </c>
      <c r="K7" s="303">
        <v>186</v>
      </c>
      <c r="M7" s="305" t="s">
        <v>415</v>
      </c>
      <c r="N7" s="59">
        <v>89967</v>
      </c>
    </row>
    <row r="8" spans="1:14" ht="21" customHeight="1" x14ac:dyDescent="0.3">
      <c r="A8" s="470"/>
      <c r="B8" s="116">
        <v>0</v>
      </c>
      <c r="C8" s="8">
        <f t="shared" si="0"/>
        <v>256</v>
      </c>
      <c r="D8" s="476" t="s">
        <v>440</v>
      </c>
      <c r="E8" s="472">
        <v>2</v>
      </c>
      <c r="F8" s="482">
        <v>256</v>
      </c>
      <c r="G8" s="496" t="s">
        <v>193</v>
      </c>
      <c r="H8" s="496" t="s">
        <v>193</v>
      </c>
      <c r="I8" s="476" t="s">
        <v>440</v>
      </c>
      <c r="J8" s="482" t="s">
        <v>193</v>
      </c>
      <c r="K8" s="303">
        <v>256</v>
      </c>
      <c r="M8" s="305"/>
      <c r="N8" s="59"/>
    </row>
    <row r="9" spans="1:14" ht="21" customHeight="1" x14ac:dyDescent="0.3">
      <c r="A9" s="470"/>
      <c r="B9" s="116">
        <v>0</v>
      </c>
      <c r="C9" s="8">
        <f t="shared" si="0"/>
        <v>20</v>
      </c>
      <c r="D9" s="476" t="s">
        <v>441</v>
      </c>
      <c r="E9" s="474">
        <v>500</v>
      </c>
      <c r="F9" s="482">
        <v>20</v>
      </c>
      <c r="G9" s="496" t="s">
        <v>193</v>
      </c>
      <c r="H9" s="496" t="s">
        <v>193</v>
      </c>
      <c r="I9" s="476" t="s">
        <v>441</v>
      </c>
      <c r="J9" s="482"/>
      <c r="K9" s="303">
        <v>20</v>
      </c>
      <c r="M9" s="305"/>
      <c r="N9" s="59"/>
    </row>
    <row r="10" spans="1:14" ht="21" customHeight="1" x14ac:dyDescent="0.25">
      <c r="A10" s="470" t="s">
        <v>464</v>
      </c>
      <c r="B10" s="116">
        <v>0</v>
      </c>
      <c r="C10" s="8">
        <f t="shared" si="0"/>
        <v>2.319</v>
      </c>
      <c r="D10" s="312" t="s">
        <v>418</v>
      </c>
      <c r="E10" s="501">
        <v>4</v>
      </c>
      <c r="F10" s="478">
        <v>2.319</v>
      </c>
      <c r="G10" s="104">
        <v>0</v>
      </c>
      <c r="H10" s="104">
        <v>0</v>
      </c>
      <c r="I10" s="30" t="str">
        <f t="shared" si="1"/>
        <v>Пральний порошок для машиного та ручного прання</v>
      </c>
      <c r="J10" s="478">
        <v>2.319</v>
      </c>
      <c r="K10" s="303">
        <f t="shared" ref="K5:K58" si="2">F10-J10</f>
        <v>0</v>
      </c>
    </row>
    <row r="11" spans="1:14" ht="21" customHeight="1" x14ac:dyDescent="0.35">
      <c r="A11" s="470"/>
      <c r="B11" s="116">
        <v>0</v>
      </c>
      <c r="C11" s="8">
        <f t="shared" si="0"/>
        <v>0.187</v>
      </c>
      <c r="D11" s="312" t="s">
        <v>419</v>
      </c>
      <c r="E11" s="501">
        <v>2</v>
      </c>
      <c r="F11" s="478">
        <v>0.187</v>
      </c>
      <c r="G11" s="104">
        <v>0</v>
      </c>
      <c r="H11" s="104">
        <v>0</v>
      </c>
      <c r="I11" s="30" t="str">
        <f t="shared" si="1"/>
        <v>Рідкий засіб для ручного миття посуду лл</v>
      </c>
      <c r="J11" s="478">
        <v>0.187</v>
      </c>
      <c r="K11" s="303">
        <f t="shared" si="2"/>
        <v>0</v>
      </c>
      <c r="N11" s="126">
        <f>SUM(N5:N10)</f>
        <v>302080.26</v>
      </c>
    </row>
    <row r="12" spans="1:14" ht="21" customHeight="1" x14ac:dyDescent="0.25">
      <c r="A12" s="470"/>
      <c r="B12" s="116">
        <v>0</v>
      </c>
      <c r="C12" s="8">
        <f t="shared" si="0"/>
        <v>1.7450000000000001</v>
      </c>
      <c r="D12" s="312" t="s">
        <v>420</v>
      </c>
      <c r="E12" s="501">
        <v>6</v>
      </c>
      <c r="F12" s="478">
        <v>1.7450000000000001</v>
      </c>
      <c r="G12" s="104">
        <v>0</v>
      </c>
      <c r="H12" s="104">
        <v>0</v>
      </c>
      <c r="I12" s="30" t="str">
        <f t="shared" si="1"/>
        <v>Мішкі для сміття 100шт</v>
      </c>
      <c r="J12" s="478">
        <v>1.7450000000000001</v>
      </c>
      <c r="K12" s="303">
        <f t="shared" si="2"/>
        <v>0</v>
      </c>
    </row>
    <row r="13" spans="1:14" ht="21" customHeight="1" x14ac:dyDescent="0.25">
      <c r="A13" s="470"/>
      <c r="B13" s="116">
        <v>0</v>
      </c>
      <c r="C13" s="8">
        <f t="shared" si="0"/>
        <v>0.752</v>
      </c>
      <c r="D13" s="312" t="s">
        <v>421</v>
      </c>
      <c r="E13" s="501">
        <v>8</v>
      </c>
      <c r="F13" s="478">
        <v>0.752</v>
      </c>
      <c r="G13" s="104">
        <v>0</v>
      </c>
      <c r="H13" s="104">
        <v>0</v>
      </c>
      <c r="I13" s="30" t="str">
        <f t="shared" si="1"/>
        <v>Папір туал. Обухів65 п/е 8шт.</v>
      </c>
      <c r="J13" s="478">
        <v>0.752</v>
      </c>
      <c r="K13" s="303">
        <f t="shared" si="2"/>
        <v>0</v>
      </c>
    </row>
    <row r="14" spans="1:14" ht="22.5" customHeight="1" x14ac:dyDescent="0.25">
      <c r="A14" s="470"/>
      <c r="B14" s="116">
        <v>0</v>
      </c>
      <c r="C14" s="8">
        <f t="shared" si="0"/>
        <v>7.0679999999999996</v>
      </c>
      <c r="D14" s="312" t="s">
        <v>422</v>
      </c>
      <c r="E14" s="501">
        <v>6</v>
      </c>
      <c r="F14" s="478">
        <v>7.0679999999999996</v>
      </c>
      <c r="G14" s="104">
        <v>0</v>
      </c>
      <c r="H14" s="104">
        <v>0</v>
      </c>
      <c r="I14" s="30" t="str">
        <f t="shared" si="1"/>
        <v>Набір для прибирання (комплект швабра і відро з мех. Віджимом)</v>
      </c>
      <c r="J14" s="478">
        <v>7.0679999999999996</v>
      </c>
      <c r="K14" s="303">
        <f t="shared" si="2"/>
        <v>0</v>
      </c>
    </row>
    <row r="15" spans="1:14" ht="34.799999999999997" customHeight="1" x14ac:dyDescent="0.25">
      <c r="A15" s="470"/>
      <c r="B15" s="116">
        <v>0</v>
      </c>
      <c r="C15" s="8">
        <f t="shared" si="0"/>
        <v>2.379</v>
      </c>
      <c r="D15" s="312" t="s">
        <v>423</v>
      </c>
      <c r="E15" s="501">
        <v>6</v>
      </c>
      <c r="F15" s="478">
        <v>2.379</v>
      </c>
      <c r="G15" s="104">
        <v>0</v>
      </c>
      <c r="H15" s="104">
        <v>0</v>
      </c>
      <c r="I15" s="30" t="str">
        <f t="shared" si="1"/>
        <v>Змінний моп</v>
      </c>
      <c r="J15" s="478">
        <v>2.379</v>
      </c>
      <c r="K15" s="303">
        <f t="shared" si="2"/>
        <v>0</v>
      </c>
    </row>
    <row r="16" spans="1:14" ht="21" customHeight="1" x14ac:dyDescent="0.25">
      <c r="A16" s="470"/>
      <c r="B16" s="116">
        <v>0</v>
      </c>
      <c r="C16" s="8">
        <f t="shared" si="0"/>
        <v>0.58799999999999997</v>
      </c>
      <c r="D16" s="312" t="s">
        <v>424</v>
      </c>
      <c r="E16" s="501">
        <v>6</v>
      </c>
      <c r="F16" s="478">
        <v>0.58799999999999997</v>
      </c>
      <c r="G16" s="104">
        <v>0</v>
      </c>
      <c r="H16" s="104">
        <v>0</v>
      </c>
      <c r="I16" s="30" t="str">
        <f t="shared" si="1"/>
        <v>Відро мірне 12л</v>
      </c>
      <c r="J16" s="478">
        <v>0.58799999999999997</v>
      </c>
      <c r="K16" s="303">
        <f t="shared" si="2"/>
        <v>0</v>
      </c>
    </row>
    <row r="17" spans="1:14" ht="23.4" customHeight="1" x14ac:dyDescent="0.25">
      <c r="A17" s="470"/>
      <c r="B17" s="116">
        <v>0</v>
      </c>
      <c r="C17" s="8">
        <f t="shared" si="0"/>
        <v>0.20699999999999999</v>
      </c>
      <c r="D17" s="312" t="s">
        <v>425</v>
      </c>
      <c r="E17" s="501">
        <v>4</v>
      </c>
      <c r="F17" s="478">
        <v>0.20699999999999999</v>
      </c>
      <c r="G17" s="104">
        <v>0</v>
      </c>
      <c r="H17" s="104">
        <v>0</v>
      </c>
      <c r="I17" s="30" t="str">
        <f t="shared" si="1"/>
        <v>Щітка для чищення унітазів з відкритою чашею</v>
      </c>
      <c r="J17" s="478">
        <v>0.20699999999999999</v>
      </c>
      <c r="K17" s="303">
        <f t="shared" si="2"/>
        <v>0</v>
      </c>
    </row>
    <row r="18" spans="1:14" ht="22.5" customHeight="1" x14ac:dyDescent="0.25">
      <c r="A18" s="470"/>
      <c r="B18" s="116">
        <v>0</v>
      </c>
      <c r="C18" s="8">
        <f t="shared" si="0"/>
        <v>0.873</v>
      </c>
      <c r="D18" s="312" t="s">
        <v>426</v>
      </c>
      <c r="E18" s="501">
        <v>40</v>
      </c>
      <c r="F18" s="478">
        <v>0.873</v>
      </c>
      <c r="G18" s="104">
        <v>0</v>
      </c>
      <c r="H18" s="104">
        <v>0</v>
      </c>
      <c r="I18" s="30" t="str">
        <f t="shared" si="1"/>
        <v>Рукавички побутові універсальні(М)2 шт.</v>
      </c>
      <c r="J18" s="478">
        <v>0.873</v>
      </c>
      <c r="K18" s="303">
        <f t="shared" si="2"/>
        <v>0</v>
      </c>
    </row>
    <row r="19" spans="1:14" ht="22.2" customHeight="1" x14ac:dyDescent="0.25">
      <c r="A19" s="470"/>
      <c r="B19" s="116">
        <v>0</v>
      </c>
      <c r="C19" s="8">
        <f t="shared" si="0"/>
        <v>1.0920000000000001</v>
      </c>
      <c r="D19" s="312" t="s">
        <v>427</v>
      </c>
      <c r="E19" s="501">
        <v>50</v>
      </c>
      <c r="F19" s="478">
        <v>1.0920000000000001</v>
      </c>
      <c r="G19" s="104">
        <v>0</v>
      </c>
      <c r="H19" s="104">
        <v>0</v>
      </c>
      <c r="I19" s="30" t="str">
        <f t="shared" si="1"/>
        <v>Рукавички побутові універсальні(L)2 шт.</v>
      </c>
      <c r="J19" s="478">
        <v>1.0920000000000001</v>
      </c>
      <c r="K19" s="303">
        <f t="shared" si="2"/>
        <v>0</v>
      </c>
    </row>
    <row r="20" spans="1:14" ht="51" customHeight="1" x14ac:dyDescent="0.25">
      <c r="A20" s="499" t="s">
        <v>465</v>
      </c>
      <c r="B20" s="116">
        <v>0</v>
      </c>
      <c r="C20" s="8">
        <f t="shared" si="0"/>
        <v>303.55900000000003</v>
      </c>
      <c r="D20" s="322" t="s">
        <v>428</v>
      </c>
      <c r="E20" s="326">
        <v>40</v>
      </c>
      <c r="F20" s="500">
        <v>303.55900000000003</v>
      </c>
      <c r="G20" s="104">
        <v>0</v>
      </c>
      <c r="H20" s="104">
        <v>0</v>
      </c>
      <c r="I20" s="30" t="str">
        <f t="shared" si="1"/>
        <v>Одноразова натуральна допомога "Пакунок малюка"</v>
      </c>
      <c r="J20" s="500">
        <v>220.08</v>
      </c>
      <c r="K20" s="303">
        <f t="shared" si="2"/>
        <v>83.479000000000013</v>
      </c>
    </row>
    <row r="21" spans="1:14" ht="53.4" customHeight="1" x14ac:dyDescent="0.25">
      <c r="A21" s="498" t="s">
        <v>466</v>
      </c>
      <c r="B21" s="116">
        <v>0</v>
      </c>
      <c r="C21" s="8">
        <f t="shared" si="0"/>
        <v>29.599</v>
      </c>
      <c r="D21" s="322" t="s">
        <v>416</v>
      </c>
      <c r="E21" s="326">
        <v>2</v>
      </c>
      <c r="F21" s="500">
        <v>29.599</v>
      </c>
      <c r="G21" s="104">
        <v>0</v>
      </c>
      <c r="H21" s="104">
        <v>0</v>
      </c>
      <c r="I21" s="30" t="str">
        <f t="shared" si="1"/>
        <v>Функціональне ліжко</v>
      </c>
      <c r="J21" s="500">
        <v>29.6</v>
      </c>
      <c r="K21" s="497" t="s">
        <v>193</v>
      </c>
    </row>
    <row r="22" spans="1:14" ht="26.4" customHeight="1" x14ac:dyDescent="0.25">
      <c r="A22" s="514" t="s">
        <v>154</v>
      </c>
      <c r="B22" s="116">
        <v>0</v>
      </c>
      <c r="C22" s="8">
        <f t="shared" si="0"/>
        <v>2.48</v>
      </c>
      <c r="D22" s="475" t="s">
        <v>473</v>
      </c>
      <c r="E22" s="325">
        <v>1</v>
      </c>
      <c r="F22" s="479">
        <v>2.48</v>
      </c>
      <c r="G22" s="104"/>
      <c r="H22" s="104"/>
      <c r="I22" s="475" t="s">
        <v>473</v>
      </c>
      <c r="J22" s="479">
        <v>2.48</v>
      </c>
      <c r="K22" s="497" t="s">
        <v>193</v>
      </c>
    </row>
    <row r="23" spans="1:14" ht="22.2" customHeight="1" x14ac:dyDescent="0.25">
      <c r="A23" s="515"/>
      <c r="B23" s="116">
        <v>0</v>
      </c>
      <c r="C23" s="8">
        <f t="shared" ref="C23:C28" si="3">F23</f>
        <v>3.6</v>
      </c>
      <c r="D23" s="324" t="s">
        <v>443</v>
      </c>
      <c r="E23" s="465">
        <v>2</v>
      </c>
      <c r="F23" s="480">
        <v>3.6</v>
      </c>
      <c r="G23" s="104">
        <v>0</v>
      </c>
      <c r="H23" s="104">
        <v>0</v>
      </c>
      <c r="I23" s="30" t="str">
        <f t="shared" ref="I23:I24" si="4">D23</f>
        <v>Акумулятор 12 В,12 Ач</v>
      </c>
      <c r="J23" s="480">
        <v>3.6</v>
      </c>
      <c r="K23" s="497" t="s">
        <v>193</v>
      </c>
    </row>
    <row r="24" spans="1:14" ht="26.4" customHeight="1" x14ac:dyDescent="0.25">
      <c r="A24" s="515"/>
      <c r="B24" s="116">
        <v>0</v>
      </c>
      <c r="C24" s="8">
        <f t="shared" si="3"/>
        <v>5.4</v>
      </c>
      <c r="D24" s="306" t="s">
        <v>444</v>
      </c>
      <c r="E24" s="326">
        <v>2</v>
      </c>
      <c r="F24" s="481">
        <v>5.4</v>
      </c>
      <c r="G24" s="104">
        <v>0</v>
      </c>
      <c r="H24" s="104">
        <v>0</v>
      </c>
      <c r="I24" s="30" t="str">
        <f t="shared" si="4"/>
        <v>Акумулятор 12 В,17 Ач</v>
      </c>
      <c r="J24" s="481">
        <v>5.4</v>
      </c>
      <c r="K24" s="497" t="s">
        <v>193</v>
      </c>
    </row>
    <row r="25" spans="1:14" ht="22.2" customHeight="1" x14ac:dyDescent="0.25">
      <c r="A25" s="515"/>
      <c r="B25" s="116">
        <v>0</v>
      </c>
      <c r="C25" s="8">
        <f t="shared" si="3"/>
        <v>2.4</v>
      </c>
      <c r="D25" s="324" t="s">
        <v>445</v>
      </c>
      <c r="E25" s="464">
        <v>2</v>
      </c>
      <c r="F25" s="482">
        <v>2.4</v>
      </c>
      <c r="G25" s="104">
        <v>0</v>
      </c>
      <c r="H25" s="104">
        <v>0</v>
      </c>
      <c r="I25" s="30" t="str">
        <f t="shared" ref="I25:I29" si="5">D25</f>
        <v>Акумулятор 12 В,9 Ач</v>
      </c>
      <c r="J25" s="482">
        <v>2.4</v>
      </c>
      <c r="K25" s="497" t="s">
        <v>193</v>
      </c>
    </row>
    <row r="26" spans="1:14" ht="22.2" customHeight="1" x14ac:dyDescent="0.25">
      <c r="A26" s="516"/>
      <c r="B26" s="116">
        <v>0</v>
      </c>
      <c r="C26" s="8">
        <f t="shared" si="3"/>
        <v>1.306</v>
      </c>
      <c r="D26" s="324" t="s">
        <v>459</v>
      </c>
      <c r="E26" s="465">
        <v>2</v>
      </c>
      <c r="F26" s="479">
        <v>1.306</v>
      </c>
      <c r="G26" s="104"/>
      <c r="H26" s="104"/>
      <c r="I26" s="324" t="s">
        <v>459</v>
      </c>
      <c r="J26" s="479">
        <v>1.31</v>
      </c>
      <c r="K26" s="497" t="s">
        <v>193</v>
      </c>
    </row>
    <row r="27" spans="1:14" ht="22.2" customHeight="1" x14ac:dyDescent="0.25">
      <c r="A27" s="517" t="s">
        <v>462</v>
      </c>
      <c r="B27" s="116">
        <v>0</v>
      </c>
      <c r="C27" s="8">
        <f t="shared" si="3"/>
        <v>148.94499999999999</v>
      </c>
      <c r="D27" s="329" t="s">
        <v>447</v>
      </c>
      <c r="E27" s="467">
        <v>649</v>
      </c>
      <c r="F27" s="483">
        <v>148.94499999999999</v>
      </c>
      <c r="G27" s="104">
        <v>0</v>
      </c>
      <c r="H27" s="104">
        <v>0</v>
      </c>
      <c r="I27" s="30" t="str">
        <f t="shared" si="5"/>
        <v>Сонячні панелі UNISOLAR US116</v>
      </c>
      <c r="J27" s="483" t="s">
        <v>193</v>
      </c>
      <c r="K27" s="303">
        <v>148.94499999999999</v>
      </c>
    </row>
    <row r="28" spans="1:14" ht="22.2" customHeight="1" x14ac:dyDescent="0.25">
      <c r="A28" s="518"/>
      <c r="B28" s="116">
        <v>0</v>
      </c>
      <c r="C28" s="8">
        <f t="shared" si="3"/>
        <v>2.2949999999999999</v>
      </c>
      <c r="D28" s="329" t="s">
        <v>446</v>
      </c>
      <c r="E28" s="467">
        <v>1</v>
      </c>
      <c r="F28" s="483">
        <v>2.2949999999999999</v>
      </c>
      <c r="G28" s="496" t="s">
        <v>193</v>
      </c>
      <c r="H28" s="496" t="s">
        <v>193</v>
      </c>
      <c r="I28" s="329" t="s">
        <v>446</v>
      </c>
      <c r="J28" s="483" t="s">
        <v>193</v>
      </c>
      <c r="K28" s="303">
        <v>2.2949999999999999</v>
      </c>
    </row>
    <row r="29" spans="1:14" ht="45" customHeight="1" thickBot="1" x14ac:dyDescent="0.3">
      <c r="A29" s="519"/>
      <c r="B29" s="116">
        <v>0</v>
      </c>
      <c r="C29" s="8">
        <f t="shared" si="0"/>
        <v>128.51400000000001</v>
      </c>
      <c r="D29" s="329" t="s">
        <v>448</v>
      </c>
      <c r="E29" s="467">
        <v>28</v>
      </c>
      <c r="F29" s="484">
        <v>128.51400000000001</v>
      </c>
      <c r="G29" s="113">
        <v>0</v>
      </c>
      <c r="H29" s="113">
        <v>0</v>
      </c>
      <c r="I29" s="91" t="str">
        <f t="shared" si="5"/>
        <v>Перетворювач інвенторний Fronius IG 30 для сонячних панелей</v>
      </c>
      <c r="J29" s="484" t="s">
        <v>193</v>
      </c>
      <c r="K29" s="303">
        <v>128.51400000000001</v>
      </c>
    </row>
    <row r="30" spans="1:14" s="6" customFormat="1" ht="34.799999999999997" customHeight="1" thickBot="1" x14ac:dyDescent="0.35">
      <c r="A30" s="469"/>
      <c r="B30" s="331" t="s">
        <v>15</v>
      </c>
      <c r="C30" s="331"/>
      <c r="D30" s="331"/>
      <c r="E30" s="332"/>
      <c r="F30" s="89">
        <f>F31+F32+F33+F34+F35+F36+F37+F38+F39+F40+F41+F42+F43+F44+F45</f>
        <v>38.012000000000008</v>
      </c>
      <c r="G30" s="486" t="s">
        <v>15</v>
      </c>
      <c r="H30" s="347"/>
      <c r="I30" s="487"/>
      <c r="J30" s="89">
        <f>J31+J32+J33+J34+J35+J36+J37+J38+J39+J40+J41+J42+J43+J44+J45</f>
        <v>38.012000000000008</v>
      </c>
      <c r="K30" s="276"/>
      <c r="L30" s="59"/>
      <c r="M30" s="59"/>
      <c r="N30" s="59"/>
    </row>
    <row r="31" spans="1:14" ht="24" customHeight="1" x14ac:dyDescent="0.25">
      <c r="A31" s="520" t="s">
        <v>464</v>
      </c>
      <c r="B31" s="310">
        <v>0</v>
      </c>
      <c r="C31" s="8">
        <f>F30:F31</f>
        <v>0.35299999999999998</v>
      </c>
      <c r="D31" s="327" t="s">
        <v>429</v>
      </c>
      <c r="E31" s="502">
        <v>10</v>
      </c>
      <c r="F31" s="488">
        <v>0.35299999999999998</v>
      </c>
      <c r="G31" s="485" t="s">
        <v>193</v>
      </c>
      <c r="H31" s="273">
        <v>0</v>
      </c>
      <c r="I31" s="503" t="str">
        <f t="shared" ref="I31:I35" si="6">D31</f>
        <v>Рідке мило "Лаванда та ромашка" 500мл</v>
      </c>
      <c r="J31" s="488">
        <v>0.35299999999999998</v>
      </c>
      <c r="K31" s="311">
        <v>0</v>
      </c>
    </row>
    <row r="32" spans="1:14" ht="24" customHeight="1" x14ac:dyDescent="0.25">
      <c r="A32" s="521"/>
      <c r="B32" s="310">
        <v>0</v>
      </c>
      <c r="C32" s="8">
        <f t="shared" ref="C32:C35" si="7">F31:F32</f>
        <v>0.46700000000000003</v>
      </c>
      <c r="D32" s="264" t="s">
        <v>430</v>
      </c>
      <c r="E32" s="501">
        <v>4</v>
      </c>
      <c r="F32" s="478">
        <v>0.46700000000000003</v>
      </c>
      <c r="G32" s="295" t="s">
        <v>193</v>
      </c>
      <c r="H32" s="104">
        <v>0</v>
      </c>
      <c r="I32" s="30" t="str">
        <f t="shared" si="6"/>
        <v>Крем-мило "Молоко та медове" 5кг</v>
      </c>
      <c r="J32" s="478">
        <v>0.46700000000000003</v>
      </c>
      <c r="K32" s="303">
        <v>0</v>
      </c>
    </row>
    <row r="33" spans="1:14" ht="24" customHeight="1" x14ac:dyDescent="0.25">
      <c r="A33" s="521"/>
      <c r="B33" s="310">
        <v>0</v>
      </c>
      <c r="C33" s="8">
        <f t="shared" si="7"/>
        <v>0.96699999999999997</v>
      </c>
      <c r="D33" s="264" t="s">
        <v>431</v>
      </c>
      <c r="E33" s="501">
        <v>4</v>
      </c>
      <c r="F33" s="478">
        <v>0.96699999999999997</v>
      </c>
      <c r="G33" s="296" t="s">
        <v>193</v>
      </c>
      <c r="H33" s="104">
        <v>0</v>
      </c>
      <c r="I33" s="30" t="str">
        <f t="shared" si="6"/>
        <v>Таблетки БЛАНІДАС для дезінфекції 300 1кг</v>
      </c>
      <c r="J33" s="478">
        <v>0.96699999999999997</v>
      </c>
      <c r="K33" s="303">
        <v>0</v>
      </c>
    </row>
    <row r="34" spans="1:14" ht="21.6" customHeight="1" x14ac:dyDescent="0.25">
      <c r="A34" s="521"/>
      <c r="B34" s="310">
        <v>0</v>
      </c>
      <c r="C34" s="8">
        <f t="shared" si="7"/>
        <v>2.3069999999999999</v>
      </c>
      <c r="D34" s="264" t="s">
        <v>432</v>
      </c>
      <c r="E34" s="501">
        <v>30</v>
      </c>
      <c r="F34" s="478">
        <v>2.3069999999999999</v>
      </c>
      <c r="G34" s="295" t="s">
        <v>193</v>
      </c>
      <c r="H34" s="104">
        <v>0</v>
      </c>
      <c r="I34" s="30" t="str">
        <f t="shared" si="6"/>
        <v>Рушник 2шар.200лист</v>
      </c>
      <c r="J34" s="478">
        <v>2.3069999999999999</v>
      </c>
      <c r="K34" s="303">
        <v>0</v>
      </c>
    </row>
    <row r="35" spans="1:14" ht="24.6" customHeight="1" x14ac:dyDescent="0.25">
      <c r="A35" s="521"/>
      <c r="B35" s="310">
        <v>0</v>
      </c>
      <c r="C35" s="8">
        <f t="shared" si="7"/>
        <v>0.86899999999999999</v>
      </c>
      <c r="D35" s="264" t="s">
        <v>433</v>
      </c>
      <c r="E35" s="501">
        <v>8</v>
      </c>
      <c r="F35" s="478">
        <v>0.86899999999999999</v>
      </c>
      <c r="G35" s="295" t="s">
        <v>193</v>
      </c>
      <c r="H35" s="104">
        <v>0</v>
      </c>
      <c r="I35" s="30" t="str">
        <f t="shared" si="6"/>
        <v>Засіб для чищення 1л</v>
      </c>
      <c r="J35" s="478">
        <v>0.86899999999999999</v>
      </c>
      <c r="K35" s="303">
        <v>0</v>
      </c>
    </row>
    <row r="36" spans="1:14" s="17" customFormat="1" ht="22.8" customHeight="1" x14ac:dyDescent="0.25">
      <c r="A36" s="522"/>
      <c r="B36" s="310">
        <v>0</v>
      </c>
      <c r="C36" s="8">
        <f>F35:F37</f>
        <v>2.415</v>
      </c>
      <c r="D36" s="264" t="s">
        <v>434</v>
      </c>
      <c r="E36" s="501">
        <v>30</v>
      </c>
      <c r="F36" s="478">
        <v>2.415</v>
      </c>
      <c r="G36" s="295" t="s">
        <v>193</v>
      </c>
      <c r="H36" s="104">
        <v>0</v>
      </c>
      <c r="I36" s="30" t="str">
        <f t="shared" ref="I36:I42" si="8">D36</f>
        <v>Антисептик для шкіри рук 1000мл з дозатором</v>
      </c>
      <c r="J36" s="478">
        <v>2.415</v>
      </c>
      <c r="K36" s="303">
        <v>0</v>
      </c>
      <c r="L36" s="18"/>
      <c r="M36" s="18"/>
      <c r="N36" s="18"/>
    </row>
    <row r="37" spans="1:14" s="17" customFormat="1" ht="30.6" customHeight="1" x14ac:dyDescent="0.25">
      <c r="A37" s="514" t="s">
        <v>154</v>
      </c>
      <c r="B37" s="310">
        <v>0</v>
      </c>
      <c r="C37" s="8">
        <f>F37:F37</f>
        <v>0.19500000000000001</v>
      </c>
      <c r="D37" s="264" t="s">
        <v>449</v>
      </c>
      <c r="E37" s="504">
        <v>1</v>
      </c>
      <c r="F37" s="478">
        <v>0.19500000000000001</v>
      </c>
      <c r="G37" s="295" t="s">
        <v>193</v>
      </c>
      <c r="H37" s="104">
        <v>0</v>
      </c>
      <c r="I37" s="30" t="str">
        <f t="shared" si="8"/>
        <v>Кетамін-ЗН розчин д/ін 50мг/мл по 2мл №10в амп.</v>
      </c>
      <c r="J37" s="478">
        <v>0.19500000000000001</v>
      </c>
      <c r="K37" s="303">
        <v>0</v>
      </c>
      <c r="L37" s="18"/>
      <c r="M37" s="18"/>
      <c r="N37" s="18"/>
    </row>
    <row r="38" spans="1:14" s="17" customFormat="1" ht="27.6" customHeight="1" x14ac:dyDescent="0.25">
      <c r="A38" s="521"/>
      <c r="B38" s="310">
        <v>0</v>
      </c>
      <c r="C38" s="8">
        <f>F37:F38</f>
        <v>0.99099999999999999</v>
      </c>
      <c r="D38" s="264" t="s">
        <v>450</v>
      </c>
      <c r="E38" s="504">
        <v>1</v>
      </c>
      <c r="F38" s="478">
        <v>0.99099999999999999</v>
      </c>
      <c r="G38" s="295" t="s">
        <v>193</v>
      </c>
      <c r="H38" s="104">
        <v>0</v>
      </c>
      <c r="I38" s="30" t="str">
        <f t="shared" si="8"/>
        <v>Сибазон розчин д/ін.5мг/мл по 2мл №10в амп.</v>
      </c>
      <c r="J38" s="478">
        <v>0.99099999999999999</v>
      </c>
      <c r="K38" s="303">
        <v>0</v>
      </c>
      <c r="L38" s="18"/>
      <c r="M38" s="18"/>
      <c r="N38" s="18"/>
    </row>
    <row r="39" spans="1:14" s="17" customFormat="1" ht="30.6" customHeight="1" x14ac:dyDescent="0.25">
      <c r="A39" s="521"/>
      <c r="B39" s="310">
        <v>0</v>
      </c>
      <c r="C39" s="8">
        <f t="shared" ref="C39:C42" si="9">F38:F39</f>
        <v>5.593</v>
      </c>
      <c r="D39" s="264" t="s">
        <v>451</v>
      </c>
      <c r="E39" s="504">
        <v>6</v>
      </c>
      <c r="F39" s="478">
        <v>5.593</v>
      </c>
      <c r="G39" s="295" t="s">
        <v>193</v>
      </c>
      <c r="H39" s="104">
        <v>0</v>
      </c>
      <c r="I39" s="30" t="str">
        <f t="shared" si="8"/>
        <v>Омнопон нео розчин д/ін по 1мл №5в амп.</v>
      </c>
      <c r="J39" s="478">
        <v>5.593</v>
      </c>
      <c r="K39" s="303">
        <v>0</v>
      </c>
      <c r="L39" s="18"/>
      <c r="M39" s="18"/>
      <c r="N39" s="18"/>
    </row>
    <row r="40" spans="1:14" s="17" customFormat="1" ht="26.4" customHeight="1" x14ac:dyDescent="0.25">
      <c r="A40" s="521"/>
      <c r="B40" s="310">
        <v>0</v>
      </c>
      <c r="C40" s="8">
        <f t="shared" si="9"/>
        <v>8.4550000000000001</v>
      </c>
      <c r="D40" s="264" t="s">
        <v>452</v>
      </c>
      <c r="E40" s="504">
        <v>3</v>
      </c>
      <c r="F40" s="478">
        <v>8.4550000000000001</v>
      </c>
      <c r="G40" s="104">
        <v>0</v>
      </c>
      <c r="H40" s="104">
        <v>0</v>
      </c>
      <c r="I40" s="30" t="str">
        <f t="shared" si="8"/>
        <v>Промедол-ЗН розчин д/ін 20мг/мл по 1 мл №10в амп.</v>
      </c>
      <c r="J40" s="478">
        <v>8.4550000000000001</v>
      </c>
      <c r="K40" s="303">
        <v>0</v>
      </c>
      <c r="L40" s="18"/>
      <c r="M40" s="18"/>
      <c r="N40" s="18"/>
    </row>
    <row r="41" spans="1:14" s="17" customFormat="1" ht="30" customHeight="1" x14ac:dyDescent="0.25">
      <c r="A41" s="521"/>
      <c r="B41" s="310">
        <v>0</v>
      </c>
      <c r="C41" s="8">
        <f t="shared" si="9"/>
        <v>2.6720000000000002</v>
      </c>
      <c r="D41" s="264" t="s">
        <v>453</v>
      </c>
      <c r="E41" s="504">
        <v>1</v>
      </c>
      <c r="F41" s="489">
        <v>2.6720000000000002</v>
      </c>
      <c r="G41" s="104">
        <v>0</v>
      </c>
      <c r="H41" s="104">
        <v>0</v>
      </c>
      <c r="I41" s="30" t="str">
        <f t="shared" si="8"/>
        <v>V-IONO- розчин іонофора Са, 1 мл.</v>
      </c>
      <c r="J41" s="489">
        <v>2.6720000000000002</v>
      </c>
      <c r="K41" s="303">
        <v>0</v>
      </c>
      <c r="L41" s="309"/>
      <c r="M41" s="309"/>
      <c r="N41" s="309"/>
    </row>
    <row r="42" spans="1:14" s="17" customFormat="1" ht="39.6" customHeight="1" x14ac:dyDescent="0.25">
      <c r="A42" s="521"/>
      <c r="B42" s="310">
        <v>0</v>
      </c>
      <c r="C42" s="8">
        <f t="shared" si="9"/>
        <v>5.4770000000000003</v>
      </c>
      <c r="D42" s="329" t="s">
        <v>460</v>
      </c>
      <c r="E42" s="466">
        <v>1.292</v>
      </c>
      <c r="F42" s="505">
        <v>5.4770000000000003</v>
      </c>
      <c r="G42" s="104">
        <v>0</v>
      </c>
      <c r="H42" s="104">
        <v>0</v>
      </c>
      <c r="I42" s="30" t="str">
        <f t="shared" si="8"/>
        <v>Еритроцити з видаленим лейкотромбоцитарним шаром у додатковому розчині</v>
      </c>
      <c r="J42" s="505">
        <v>5.4770000000000003</v>
      </c>
      <c r="K42" s="303">
        <v>0</v>
      </c>
      <c r="L42" s="18"/>
      <c r="M42" s="18"/>
      <c r="N42" s="18"/>
    </row>
    <row r="43" spans="1:14" s="18" customFormat="1" ht="40.200000000000003" customHeight="1" x14ac:dyDescent="0.25">
      <c r="A43" s="521"/>
      <c r="B43" s="310">
        <v>0</v>
      </c>
      <c r="C43" s="8">
        <f>F43:F43</f>
        <v>3.8530000000000002</v>
      </c>
      <c r="D43" s="329" t="s">
        <v>460</v>
      </c>
      <c r="E43" s="466">
        <v>0.90900000000000003</v>
      </c>
      <c r="F43" s="506">
        <v>3.8530000000000002</v>
      </c>
      <c r="G43" s="104">
        <v>0</v>
      </c>
      <c r="H43" s="104">
        <v>0</v>
      </c>
      <c r="I43" s="30" t="str">
        <f t="shared" ref="I43:I45" si="10">D43</f>
        <v>Еритроцити з видаленим лейкотромбоцитарним шаром у додатковому розчині</v>
      </c>
      <c r="J43" s="506">
        <v>3.8530000000000002</v>
      </c>
      <c r="K43" s="303">
        <v>0</v>
      </c>
    </row>
    <row r="44" spans="1:14" s="18" customFormat="1" ht="43.2" customHeight="1" x14ac:dyDescent="0.25">
      <c r="A44" s="521"/>
      <c r="B44" s="310">
        <v>0</v>
      </c>
      <c r="C44" s="8">
        <f t="shared" ref="C44:C45" si="11">F43:F44</f>
        <v>1.573</v>
      </c>
      <c r="D44" s="329" t="s">
        <v>461</v>
      </c>
      <c r="E44" s="466">
        <v>0.35299999999999998</v>
      </c>
      <c r="F44" s="506">
        <v>1.573</v>
      </c>
      <c r="G44" s="104">
        <v>0</v>
      </c>
      <c r="H44" s="104">
        <v>0</v>
      </c>
      <c r="I44" s="30" t="str">
        <f t="shared" si="10"/>
        <v>Еритроцити збіднені на лейкоцити у додатковому розчині видаленим лейкотромбоцитарним шаром у додатковому розчині</v>
      </c>
      <c r="J44" s="506">
        <v>1.573</v>
      </c>
      <c r="K44" s="303">
        <v>0</v>
      </c>
    </row>
    <row r="45" spans="1:14" s="18" customFormat="1" ht="46.2" customHeight="1" x14ac:dyDescent="0.25">
      <c r="A45" s="521"/>
      <c r="B45" s="310">
        <v>0</v>
      </c>
      <c r="C45" s="8">
        <f t="shared" si="11"/>
        <v>1.825</v>
      </c>
      <c r="D45" s="329" t="s">
        <v>461</v>
      </c>
      <c r="E45" s="466">
        <v>0.34300000000000003</v>
      </c>
      <c r="F45" s="506">
        <v>1.825</v>
      </c>
      <c r="G45" s="104">
        <v>0</v>
      </c>
      <c r="H45" s="104">
        <v>0</v>
      </c>
      <c r="I45" s="30" t="str">
        <f t="shared" si="10"/>
        <v>Еритроцити збіднені на лейкоцити у додатковому розчині видаленим лейкотромбоцитарним шаром у додатковому розчині</v>
      </c>
      <c r="J45" s="506">
        <v>1.825</v>
      </c>
      <c r="K45" s="303">
        <v>0</v>
      </c>
    </row>
    <row r="46" spans="1:14" ht="33" customHeight="1" x14ac:dyDescent="0.25">
      <c r="A46" s="523" t="s">
        <v>154</v>
      </c>
      <c r="B46" s="462" t="s">
        <v>41</v>
      </c>
      <c r="C46" s="460"/>
      <c r="D46" s="461"/>
      <c r="E46" s="110"/>
      <c r="F46" s="36">
        <f>F47+F48+F49+F50+F51+F52+F53+F54</f>
        <v>25.43</v>
      </c>
      <c r="G46" s="459" t="s">
        <v>41</v>
      </c>
      <c r="H46" s="460"/>
      <c r="I46" s="461"/>
      <c r="J46" s="36">
        <f>J47+J48+J49+J50+J51+J52+J53+J54</f>
        <v>25.43</v>
      </c>
      <c r="K46" s="36"/>
    </row>
    <row r="47" spans="1:14" ht="32.4" customHeight="1" x14ac:dyDescent="0.25">
      <c r="A47" s="523"/>
      <c r="B47" s="116">
        <v>0</v>
      </c>
      <c r="C47" s="8">
        <f>F46:F47</f>
        <v>4.5</v>
      </c>
      <c r="D47" s="328" t="s">
        <v>435</v>
      </c>
      <c r="E47" s="300">
        <v>1</v>
      </c>
      <c r="F47" s="490">
        <v>4.5</v>
      </c>
      <c r="G47" s="104">
        <v>0</v>
      </c>
      <c r="H47" s="104">
        <v>0</v>
      </c>
      <c r="I47" s="328" t="s">
        <v>435</v>
      </c>
      <c r="J47" s="490">
        <v>4.5</v>
      </c>
      <c r="K47" s="303">
        <f>+K48+K49+K50+K51+K52+K53+K54</f>
        <v>0</v>
      </c>
    </row>
    <row r="48" spans="1:14" ht="36" customHeight="1" x14ac:dyDescent="0.25">
      <c r="A48" s="523"/>
      <c r="B48" s="116">
        <v>0</v>
      </c>
      <c r="C48" s="8">
        <f t="shared" ref="C48:C49" si="12">F47:F48</f>
        <v>3</v>
      </c>
      <c r="D48" s="329" t="s">
        <v>436</v>
      </c>
      <c r="E48" s="326">
        <v>1</v>
      </c>
      <c r="F48" s="483">
        <v>3</v>
      </c>
      <c r="G48" s="104">
        <v>0</v>
      </c>
      <c r="H48" s="104">
        <v>0</v>
      </c>
      <c r="I48" s="329" t="s">
        <v>436</v>
      </c>
      <c r="J48" s="483">
        <v>3</v>
      </c>
      <c r="K48" s="303">
        <f t="shared" si="2"/>
        <v>0</v>
      </c>
    </row>
    <row r="49" spans="1:14" ht="37.200000000000003" customHeight="1" x14ac:dyDescent="0.25">
      <c r="A49" s="523"/>
      <c r="B49" s="116">
        <v>0</v>
      </c>
      <c r="C49" s="8">
        <f t="shared" si="12"/>
        <v>2.42</v>
      </c>
      <c r="D49" s="329" t="s">
        <v>437</v>
      </c>
      <c r="E49" s="326">
        <v>1</v>
      </c>
      <c r="F49" s="483">
        <v>2.42</v>
      </c>
      <c r="G49" s="104">
        <v>0</v>
      </c>
      <c r="H49" s="104">
        <v>0</v>
      </c>
      <c r="I49" s="329" t="s">
        <v>437</v>
      </c>
      <c r="J49" s="483">
        <v>2.42</v>
      </c>
      <c r="K49" s="303">
        <f t="shared" si="2"/>
        <v>0</v>
      </c>
    </row>
    <row r="50" spans="1:14" s="6" customFormat="1" ht="30" customHeight="1" x14ac:dyDescent="0.3">
      <c r="A50" s="523"/>
      <c r="B50" s="104">
        <v>0</v>
      </c>
      <c r="C50" s="301">
        <f>F49:F50</f>
        <v>4.5</v>
      </c>
      <c r="D50" s="328" t="s">
        <v>454</v>
      </c>
      <c r="E50" s="326">
        <v>1</v>
      </c>
      <c r="F50" s="483">
        <v>4.5</v>
      </c>
      <c r="G50" s="273">
        <v>0</v>
      </c>
      <c r="H50" s="273">
        <v>0</v>
      </c>
      <c r="I50" s="328" t="s">
        <v>454</v>
      </c>
      <c r="J50" s="483">
        <v>4.5</v>
      </c>
      <c r="K50" s="303">
        <f t="shared" si="2"/>
        <v>0</v>
      </c>
      <c r="L50" s="18"/>
      <c r="M50" s="18"/>
      <c r="N50" s="18"/>
    </row>
    <row r="51" spans="1:14" ht="30.6" customHeight="1" x14ac:dyDescent="0.25">
      <c r="A51" s="523"/>
      <c r="B51" s="104">
        <v>0</v>
      </c>
      <c r="C51" s="8">
        <f>F51:F51</f>
        <v>1.01</v>
      </c>
      <c r="D51" s="329" t="s">
        <v>455</v>
      </c>
      <c r="E51" s="326">
        <v>1</v>
      </c>
      <c r="F51" s="483">
        <v>1.01</v>
      </c>
      <c r="G51" s="104">
        <v>0</v>
      </c>
      <c r="H51" s="104">
        <v>0</v>
      </c>
      <c r="I51" s="329" t="s">
        <v>455</v>
      </c>
      <c r="J51" s="483">
        <v>1.01</v>
      </c>
      <c r="K51" s="303">
        <f t="shared" si="2"/>
        <v>0</v>
      </c>
    </row>
    <row r="52" spans="1:14" ht="23.4" customHeight="1" x14ac:dyDescent="0.25">
      <c r="A52" s="523"/>
      <c r="B52" s="104">
        <v>0</v>
      </c>
      <c r="C52" s="8">
        <f t="shared" ref="C52:C53" si="13">F51:F52</f>
        <v>3.63</v>
      </c>
      <c r="D52" s="329" t="s">
        <v>456</v>
      </c>
      <c r="E52" s="326">
        <v>1</v>
      </c>
      <c r="F52" s="483">
        <v>3.63</v>
      </c>
      <c r="G52" s="104">
        <v>0</v>
      </c>
      <c r="H52" s="104">
        <v>0</v>
      </c>
      <c r="I52" s="329" t="s">
        <v>456</v>
      </c>
      <c r="J52" s="483">
        <v>3.63</v>
      </c>
      <c r="K52" s="303">
        <f t="shared" si="2"/>
        <v>0</v>
      </c>
    </row>
    <row r="53" spans="1:14" ht="28.8" customHeight="1" x14ac:dyDescent="0.25">
      <c r="A53" s="523"/>
      <c r="B53" s="104">
        <v>0</v>
      </c>
      <c r="C53" s="8">
        <f t="shared" si="13"/>
        <v>4.2</v>
      </c>
      <c r="D53" s="329" t="s">
        <v>457</v>
      </c>
      <c r="E53" s="464">
        <v>1</v>
      </c>
      <c r="F53" s="483">
        <v>4.2</v>
      </c>
      <c r="G53" s="104">
        <v>0</v>
      </c>
      <c r="H53" s="104">
        <v>0</v>
      </c>
      <c r="I53" s="329" t="s">
        <v>457</v>
      </c>
      <c r="J53" s="483">
        <v>4.2</v>
      </c>
      <c r="K53" s="303">
        <f t="shared" si="2"/>
        <v>0</v>
      </c>
    </row>
    <row r="54" spans="1:14" ht="29.4" customHeight="1" thickBot="1" x14ac:dyDescent="0.3">
      <c r="A54" s="523"/>
      <c r="B54" s="113">
        <v>0</v>
      </c>
      <c r="C54" s="8">
        <f>F53:F54</f>
        <v>2.17</v>
      </c>
      <c r="D54" s="329" t="s">
        <v>458</v>
      </c>
      <c r="E54" s="468">
        <v>1</v>
      </c>
      <c r="F54" s="491">
        <v>2.17</v>
      </c>
      <c r="G54" s="104">
        <v>0</v>
      </c>
      <c r="H54" s="104">
        <v>0</v>
      </c>
      <c r="I54" s="329" t="s">
        <v>458</v>
      </c>
      <c r="J54" s="491">
        <v>2.17</v>
      </c>
      <c r="K54" s="303">
        <f t="shared" si="2"/>
        <v>0</v>
      </c>
    </row>
    <row r="55" spans="1:14" s="26" customFormat="1" ht="34.799999999999997" customHeight="1" x14ac:dyDescent="0.35">
      <c r="A55" s="523"/>
      <c r="B55" s="471" t="s">
        <v>438</v>
      </c>
      <c r="C55" s="438"/>
      <c r="D55" s="438"/>
      <c r="E55" s="439"/>
      <c r="F55" s="307">
        <f>F56</f>
        <v>3</v>
      </c>
      <c r="G55" s="492"/>
      <c r="H55" s="320"/>
      <c r="I55" s="492" t="s">
        <v>438</v>
      </c>
      <c r="J55" s="82">
        <f>J56</f>
        <v>3</v>
      </c>
      <c r="K55" s="303">
        <f t="shared" si="2"/>
        <v>0</v>
      </c>
      <c r="L55" s="126"/>
      <c r="M55" s="126"/>
      <c r="N55" s="126"/>
    </row>
    <row r="56" spans="1:14" s="26" customFormat="1" ht="49.8" customHeight="1" thickBot="1" x14ac:dyDescent="0.4">
      <c r="A56" s="525"/>
      <c r="B56" s="493"/>
      <c r="C56" s="8">
        <f>F55:F56</f>
        <v>3</v>
      </c>
      <c r="D56" s="306" t="s">
        <v>439</v>
      </c>
      <c r="E56" s="474">
        <v>3</v>
      </c>
      <c r="F56" s="507">
        <v>3</v>
      </c>
      <c r="G56" s="319"/>
      <c r="H56" s="319"/>
      <c r="I56" s="30" t="str">
        <f t="shared" ref="I51:I56" si="14">D56</f>
        <v>Послуги з надання навчання за  "Правилами безпечної експлуатації електроустановок споживачів" та "Правила технічної експлуатації електроустановок споживачів"</v>
      </c>
      <c r="J56" s="304">
        <v>3</v>
      </c>
      <c r="K56" s="303">
        <f t="shared" si="2"/>
        <v>0</v>
      </c>
      <c r="L56" s="126"/>
      <c r="M56" s="126"/>
      <c r="N56" s="126"/>
    </row>
    <row r="57" spans="1:14" s="26" customFormat="1" ht="21.6" customHeight="1" x14ac:dyDescent="0.35">
      <c r="A57" s="315"/>
      <c r="B57" s="463" t="s">
        <v>442</v>
      </c>
      <c r="C57" s="445"/>
      <c r="D57" s="445"/>
      <c r="E57" s="445"/>
      <c r="F57" s="508">
        <f>F58</f>
        <v>142.33000000000001</v>
      </c>
      <c r="G57" s="319"/>
      <c r="H57" s="319"/>
      <c r="I57" s="321" t="s">
        <v>442</v>
      </c>
      <c r="J57" s="93">
        <f>J58</f>
        <v>0</v>
      </c>
      <c r="K57" s="56">
        <f t="shared" si="2"/>
        <v>142.33000000000001</v>
      </c>
      <c r="L57" s="318"/>
      <c r="M57" s="126"/>
      <c r="N57" s="126"/>
    </row>
    <row r="58" spans="1:14" ht="58.2" customHeight="1" thickBot="1" x14ac:dyDescent="0.4">
      <c r="A58" s="526" t="s">
        <v>474</v>
      </c>
      <c r="B58" s="313"/>
      <c r="C58" s="8">
        <f>F55:F58</f>
        <v>142.33000000000001</v>
      </c>
      <c r="D58" s="329" t="s">
        <v>448</v>
      </c>
      <c r="E58" s="300">
        <v>1</v>
      </c>
      <c r="F58" s="507">
        <v>142.33000000000001</v>
      </c>
      <c r="G58" s="104">
        <v>0</v>
      </c>
      <c r="H58" s="104">
        <v>0</v>
      </c>
      <c r="I58" s="30" t="str">
        <f t="shared" ref="I58" si="15">D58</f>
        <v>Перетворювач інвенторний Fronius IG 30 для сонячних панелей</v>
      </c>
      <c r="J58" s="495"/>
      <c r="K58" s="303">
        <v>142.33000000000001</v>
      </c>
      <c r="L58" s="126"/>
      <c r="M58" s="126"/>
      <c r="N58" s="126"/>
    </row>
    <row r="59" spans="1:14" ht="48" customHeight="1" thickBot="1" x14ac:dyDescent="0.4">
      <c r="A59" s="524"/>
      <c r="B59" s="314"/>
      <c r="C59" s="316"/>
      <c r="D59" s="316" t="s">
        <v>470</v>
      </c>
      <c r="E59" s="317"/>
      <c r="F59" s="302">
        <f>F5+F30+F46+F55+F57</f>
        <v>1390.078</v>
      </c>
      <c r="G59" s="385" t="s">
        <v>469</v>
      </c>
      <c r="H59" s="386"/>
      <c r="I59" s="387"/>
      <c r="J59" s="302">
        <f>J5+J30+J46+J55+J57</f>
        <v>422.52200000000005</v>
      </c>
      <c r="K59" s="494">
        <f>K5+K30+K46+K55+K57</f>
        <v>967.56299999999999</v>
      </c>
      <c r="L59" s="126"/>
      <c r="M59" s="126"/>
      <c r="N59" s="126"/>
    </row>
    <row r="60" spans="1:14" ht="18" x14ac:dyDescent="0.35">
      <c r="D60" s="509"/>
      <c r="I60" s="509"/>
      <c r="L60" s="126"/>
      <c r="M60" s="126"/>
      <c r="N60" s="126"/>
    </row>
    <row r="61" spans="1:14" s="121" customFormat="1" ht="18" x14ac:dyDescent="0.35">
      <c r="A61" s="50"/>
      <c r="B61" s="115"/>
      <c r="C61" s="51"/>
      <c r="D61" s="510" t="s">
        <v>142</v>
      </c>
      <c r="E61" s="52"/>
      <c r="F61" s="51"/>
      <c r="G61" s="115"/>
      <c r="H61" s="115"/>
      <c r="I61" s="509"/>
      <c r="J61" s="84"/>
      <c r="K61" s="120"/>
      <c r="L61" s="126"/>
      <c r="M61" s="126"/>
      <c r="N61" s="126"/>
    </row>
    <row r="62" spans="1:14" s="121" customFormat="1" ht="18" x14ac:dyDescent="0.35">
      <c r="A62" s="50"/>
      <c r="B62" s="115"/>
      <c r="C62" s="51"/>
      <c r="D62" s="509"/>
      <c r="E62" s="52"/>
      <c r="F62" s="51"/>
      <c r="G62" s="115"/>
      <c r="H62" s="115"/>
      <c r="I62" s="509"/>
      <c r="J62" s="84"/>
      <c r="K62" s="120"/>
      <c r="L62" s="18"/>
      <c r="M62" s="18"/>
      <c r="N62" s="18"/>
    </row>
    <row r="63" spans="1:14" s="121" customFormat="1" ht="30" customHeight="1" x14ac:dyDescent="0.35">
      <c r="A63" s="50"/>
      <c r="B63" s="115"/>
      <c r="C63" s="51"/>
      <c r="D63" s="511" t="s">
        <v>143</v>
      </c>
      <c r="E63" s="52" t="s">
        <v>144</v>
      </c>
      <c r="F63" s="51"/>
      <c r="G63" s="115" t="s">
        <v>145</v>
      </c>
      <c r="H63" s="115"/>
      <c r="I63" s="512"/>
      <c r="J63" s="293"/>
      <c r="K63" s="120"/>
      <c r="L63" s="18"/>
      <c r="M63" s="18"/>
      <c r="N63" s="18"/>
    </row>
    <row r="64" spans="1:14" s="121" customFormat="1" ht="18" x14ac:dyDescent="0.35">
      <c r="A64" s="50"/>
      <c r="B64" s="115"/>
      <c r="C64" s="51"/>
      <c r="D64" s="509"/>
      <c r="E64" s="52"/>
      <c r="F64" s="51"/>
      <c r="G64" s="115"/>
      <c r="H64" s="115"/>
      <c r="I64" s="509"/>
      <c r="J64" s="84"/>
      <c r="K64" s="120"/>
      <c r="L64" s="18"/>
      <c r="M64" s="18"/>
      <c r="N64" s="18"/>
    </row>
    <row r="65" spans="1:14" s="121" customFormat="1" ht="18" x14ac:dyDescent="0.35">
      <c r="A65" s="50"/>
      <c r="B65" s="115"/>
      <c r="C65" s="51"/>
      <c r="D65" s="510" t="s">
        <v>472</v>
      </c>
      <c r="E65" s="52"/>
      <c r="F65" s="51"/>
      <c r="G65" s="115"/>
      <c r="H65" s="115"/>
      <c r="I65" s="509"/>
      <c r="J65" s="84"/>
      <c r="K65" s="120"/>
      <c r="L65" s="18"/>
      <c r="M65" s="18"/>
      <c r="N65" s="18"/>
    </row>
    <row r="66" spans="1:14" s="121" customFormat="1" ht="28.2" customHeight="1" x14ac:dyDescent="0.35">
      <c r="A66" s="50"/>
      <c r="B66" s="115"/>
      <c r="C66" s="51"/>
      <c r="D66" s="513" t="s">
        <v>147</v>
      </c>
      <c r="E66" s="52" t="s">
        <v>148</v>
      </c>
      <c r="F66" s="51"/>
      <c r="G66" s="115" t="s">
        <v>149</v>
      </c>
      <c r="H66" s="115"/>
      <c r="I66" s="509"/>
      <c r="J66" s="84"/>
      <c r="K66" s="120"/>
      <c r="L66" s="18"/>
      <c r="M66" s="18"/>
      <c r="N66" s="18"/>
    </row>
    <row r="67" spans="1:14" s="121" customFormat="1" ht="26.4" customHeight="1" x14ac:dyDescent="0.35">
      <c r="A67" s="50"/>
      <c r="B67" s="115"/>
      <c r="C67" s="51"/>
      <c r="D67" s="513" t="s">
        <v>150</v>
      </c>
      <c r="E67" s="52" t="s">
        <v>148</v>
      </c>
      <c r="F67" s="51"/>
      <c r="G67" s="115" t="s">
        <v>471</v>
      </c>
      <c r="H67" s="115"/>
      <c r="I67" s="509"/>
      <c r="J67" s="84"/>
      <c r="K67" s="120"/>
      <c r="L67" s="18"/>
      <c r="M67" s="18"/>
      <c r="N67" s="18"/>
    </row>
    <row r="68" spans="1:14" s="121" customFormat="1" ht="55.5" customHeight="1" x14ac:dyDescent="0.35">
      <c r="A68" s="50"/>
      <c r="B68" s="115"/>
      <c r="C68" s="51"/>
      <c r="D68" s="513" t="s">
        <v>152</v>
      </c>
      <c r="E68" s="52" t="s">
        <v>148</v>
      </c>
      <c r="F68" s="51"/>
      <c r="G68" s="115" t="s">
        <v>153</v>
      </c>
      <c r="H68" s="115"/>
      <c r="I68" s="509"/>
      <c r="J68" s="84"/>
      <c r="K68" s="120"/>
      <c r="L68" s="18"/>
      <c r="M68" s="18"/>
      <c r="N68" s="18"/>
    </row>
    <row r="69" spans="1:14" x14ac:dyDescent="0.25">
      <c r="D69" s="3"/>
    </row>
  </sheetData>
  <mergeCells count="25">
    <mergeCell ref="A31:A36"/>
    <mergeCell ref="A37:A45"/>
    <mergeCell ref="A46:A56"/>
    <mergeCell ref="B55:E55"/>
    <mergeCell ref="G46:I46"/>
    <mergeCell ref="B46:D46"/>
    <mergeCell ref="A27:A29"/>
    <mergeCell ref="A5:A9"/>
    <mergeCell ref="A10:A19"/>
    <mergeCell ref="A22:A26"/>
    <mergeCell ref="A1:K1"/>
    <mergeCell ref="A2:A3"/>
    <mergeCell ref="B2:C2"/>
    <mergeCell ref="D2:D3"/>
    <mergeCell ref="E2:E3"/>
    <mergeCell ref="F2:F3"/>
    <mergeCell ref="G2:J2"/>
    <mergeCell ref="K2:K3"/>
    <mergeCell ref="A4:K4"/>
    <mergeCell ref="B5:E5"/>
    <mergeCell ref="G5:I5"/>
    <mergeCell ref="B30:E30"/>
    <mergeCell ref="G30:I30"/>
    <mergeCell ref="G59:I59"/>
    <mergeCell ref="B57:E57"/>
  </mergeCells>
  <pageMargins left="0" right="0" top="0" bottom="0" header="0" footer="0"/>
  <pageSetup paperSize="9" scale="56" fitToHeight="0" orientation="landscape" r:id="rId1"/>
  <colBreaks count="1" manualBreakCount="1">
    <brk id="11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СТЕНД  4 квартал 2023 </vt:lpstr>
      <vt:lpstr>СТЕНД  3 квартал 2023 </vt:lpstr>
      <vt:lpstr>СТЕНД  2 квартал 2023</vt:lpstr>
      <vt:lpstr>СТЕНД  3 квартал 2024</vt:lpstr>
      <vt:lpstr>Лист1</vt:lpstr>
      <vt:lpstr>'СТЕНД  2 квартал 2023'!Область_печати</vt:lpstr>
      <vt:lpstr>'СТЕНД  3 квартал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Экономист</cp:lastModifiedBy>
  <cp:lastPrinted>2024-10-14T13:42:26Z</cp:lastPrinted>
  <dcterms:created xsi:type="dcterms:W3CDTF">2023-04-07T12:18:24Z</dcterms:created>
  <dcterms:modified xsi:type="dcterms:W3CDTF">2024-10-14T13:46:17Z</dcterms:modified>
</cp:coreProperties>
</file>