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600" activeTab="1"/>
  </bookViews>
  <sheets>
    <sheet name="СТЕНД  3 квартал 2023  (2)" sheetId="5" r:id="rId1"/>
    <sheet name="СТЕНД  3 квартал 2023 " sheetId="4" r:id="rId2"/>
    <sheet name="СТЕНД  2 квартал 2023" sheetId="3" r:id="rId3"/>
    <sheet name="СТЕНД  1 квартал" sheetId="1" r:id="rId4"/>
    <sheet name="Лист1" sheetId="2" r:id="rId5"/>
  </sheets>
  <definedNames>
    <definedName name="_xlnm.Database" localSheetId="2">#REF!</definedName>
    <definedName name="_xlnm.Database" localSheetId="1">#REF!</definedName>
    <definedName name="_xlnm.Database" localSheetId="0">#REF!</definedName>
    <definedName name="_xlnm.Database">#REF!</definedName>
    <definedName name="_xlnm.Print_Area" localSheetId="3">'СТЕНД  1 квартал'!$A$1:$K$238</definedName>
    <definedName name="_xlnm.Print_Area" localSheetId="2">'СТЕНД  2 квартал 2023'!$A$1:$W$196</definedName>
    <definedName name="_xlnm.Print_Area" localSheetId="0">'СТЕНД  3 квартал 2023  (2)'!$A$1:$W$206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6" i="4" l="1"/>
  <c r="J117" i="4"/>
  <c r="M5" i="4"/>
  <c r="K111" i="4"/>
  <c r="K110" i="4"/>
  <c r="K108" i="4"/>
  <c r="K105" i="4"/>
  <c r="K106" i="4"/>
  <c r="K107" i="4"/>
  <c r="K104" i="4"/>
  <c r="K102" i="4"/>
  <c r="J102" i="4" s="1"/>
  <c r="K101" i="4"/>
  <c r="K100" i="4"/>
  <c r="I100" i="4"/>
  <c r="K96" i="4"/>
  <c r="K95" i="4"/>
  <c r="K94" i="4"/>
  <c r="K69" i="4"/>
  <c r="K65" i="4"/>
  <c r="K64" i="4"/>
  <c r="K55" i="4"/>
  <c r="K54" i="4"/>
  <c r="K52" i="4"/>
  <c r="K49" i="4"/>
  <c r="K47" i="4"/>
  <c r="J45" i="4"/>
  <c r="J38" i="4"/>
  <c r="J37" i="4"/>
  <c r="K38" i="4"/>
  <c r="K37" i="4"/>
  <c r="K36" i="4"/>
  <c r="K32" i="4"/>
  <c r="K30" i="4"/>
  <c r="K42" i="4"/>
  <c r="K33" i="4"/>
  <c r="K29" i="4"/>
  <c r="K27" i="4"/>
  <c r="K26" i="4"/>
  <c r="K6" i="4" l="1"/>
  <c r="J6" i="4" s="1"/>
  <c r="J20" i="4"/>
  <c r="J60" i="4" l="1"/>
  <c r="J36" i="4"/>
  <c r="J27" i="4"/>
  <c r="J28" i="4"/>
  <c r="J29" i="4"/>
  <c r="J30" i="4"/>
  <c r="F93" i="4" l="1"/>
  <c r="F92" i="4" s="1"/>
  <c r="J100" i="4"/>
  <c r="C100" i="4"/>
  <c r="F86" i="4" l="1"/>
  <c r="F63" i="4"/>
  <c r="F71" i="4"/>
  <c r="F59" i="4"/>
  <c r="F31" i="4"/>
  <c r="F25" i="4"/>
  <c r="F5" i="4"/>
  <c r="J196" i="5"/>
  <c r="J195" i="5" s="1"/>
  <c r="I196" i="5"/>
  <c r="C196" i="5"/>
  <c r="F195" i="5"/>
  <c r="J194" i="5"/>
  <c r="I194" i="5"/>
  <c r="C194" i="5"/>
  <c r="K193" i="5"/>
  <c r="J193" i="5"/>
  <c r="F193" i="5"/>
  <c r="J192" i="5"/>
  <c r="I192" i="5"/>
  <c r="C192" i="5"/>
  <c r="J191" i="5"/>
  <c r="I191" i="5"/>
  <c r="C191" i="5"/>
  <c r="J190" i="5"/>
  <c r="I190" i="5"/>
  <c r="C190" i="5"/>
  <c r="F189" i="5"/>
  <c r="I188" i="5"/>
  <c r="F188" i="5"/>
  <c r="C188" i="5" s="1"/>
  <c r="J186" i="5"/>
  <c r="I186" i="5"/>
  <c r="F186" i="5"/>
  <c r="C186" i="5" s="1"/>
  <c r="I185" i="5"/>
  <c r="F185" i="5"/>
  <c r="C185" i="5" s="1"/>
  <c r="I184" i="5"/>
  <c r="F184" i="5"/>
  <c r="C184" i="5" s="1"/>
  <c r="I183" i="5"/>
  <c r="F183" i="5"/>
  <c r="J183" i="5" s="1"/>
  <c r="I181" i="5"/>
  <c r="F181" i="5"/>
  <c r="C181" i="5" s="1"/>
  <c r="I180" i="5"/>
  <c r="F180" i="5"/>
  <c r="C180" i="5" s="1"/>
  <c r="I179" i="5"/>
  <c r="F179" i="5"/>
  <c r="C179" i="5" s="1"/>
  <c r="I178" i="5"/>
  <c r="F178" i="5"/>
  <c r="C178" i="5" s="1"/>
  <c r="I176" i="5"/>
  <c r="F176" i="5"/>
  <c r="C176" i="5" s="1"/>
  <c r="I175" i="5"/>
  <c r="F175" i="5"/>
  <c r="C175" i="5" s="1"/>
  <c r="I173" i="5"/>
  <c r="F173" i="5"/>
  <c r="C173" i="5" s="1"/>
  <c r="I172" i="5"/>
  <c r="F172" i="5"/>
  <c r="K172" i="5" s="1"/>
  <c r="I171" i="5"/>
  <c r="F171" i="5"/>
  <c r="K171" i="5" s="1"/>
  <c r="I170" i="5"/>
  <c r="F170" i="5"/>
  <c r="C170" i="5" s="1"/>
  <c r="N169" i="5"/>
  <c r="I169" i="5"/>
  <c r="F169" i="5"/>
  <c r="K169" i="5" s="1"/>
  <c r="I168" i="5"/>
  <c r="F168" i="5"/>
  <c r="C168" i="5" s="1"/>
  <c r="I167" i="5"/>
  <c r="F167" i="5"/>
  <c r="C167" i="5" s="1"/>
  <c r="I166" i="5"/>
  <c r="F166" i="5"/>
  <c r="C166" i="5" s="1"/>
  <c r="I165" i="5"/>
  <c r="F165" i="5"/>
  <c r="C165" i="5" s="1"/>
  <c r="I164" i="5"/>
  <c r="F164" i="5"/>
  <c r="C164" i="5" s="1"/>
  <c r="I163" i="5"/>
  <c r="F163" i="5"/>
  <c r="C163" i="5" s="1"/>
  <c r="I162" i="5"/>
  <c r="F162" i="5"/>
  <c r="C162" i="5" s="1"/>
  <c r="I161" i="5"/>
  <c r="F161" i="5"/>
  <c r="C161" i="5" s="1"/>
  <c r="I160" i="5"/>
  <c r="F160" i="5"/>
  <c r="C160" i="5" s="1"/>
  <c r="I159" i="5"/>
  <c r="F159" i="5"/>
  <c r="C159" i="5" s="1"/>
  <c r="I158" i="5"/>
  <c r="F158" i="5"/>
  <c r="C158" i="5" s="1"/>
  <c r="I157" i="5"/>
  <c r="F157" i="5"/>
  <c r="C157" i="5" s="1"/>
  <c r="I156" i="5"/>
  <c r="F156" i="5"/>
  <c r="C156" i="5" s="1"/>
  <c r="I155" i="5"/>
  <c r="F155" i="5"/>
  <c r="C155" i="5" s="1"/>
  <c r="I154" i="5"/>
  <c r="F154" i="5"/>
  <c r="C154" i="5" s="1"/>
  <c r="I153" i="5"/>
  <c r="F153" i="5"/>
  <c r="C153" i="5" s="1"/>
  <c r="I152" i="5"/>
  <c r="F152" i="5"/>
  <c r="C152" i="5" s="1"/>
  <c r="I151" i="5"/>
  <c r="F151" i="5"/>
  <c r="C151" i="5" s="1"/>
  <c r="I150" i="5"/>
  <c r="F150" i="5"/>
  <c r="C150" i="5" s="1"/>
  <c r="I149" i="5"/>
  <c r="F149" i="5"/>
  <c r="C149" i="5" s="1"/>
  <c r="I148" i="5"/>
  <c r="F148" i="5"/>
  <c r="C148" i="5" s="1"/>
  <c r="I147" i="5"/>
  <c r="F147" i="5"/>
  <c r="C147" i="5" s="1"/>
  <c r="I146" i="5"/>
  <c r="F146" i="5"/>
  <c r="C146" i="5" s="1"/>
  <c r="I145" i="5"/>
  <c r="F145" i="5"/>
  <c r="C145" i="5" s="1"/>
  <c r="I144" i="5"/>
  <c r="F144" i="5"/>
  <c r="C144" i="5" s="1"/>
  <c r="I143" i="5"/>
  <c r="F143" i="5"/>
  <c r="K143" i="5" s="1"/>
  <c r="I142" i="5"/>
  <c r="F142" i="5"/>
  <c r="I141" i="5"/>
  <c r="F141" i="5"/>
  <c r="J141" i="5" s="1"/>
  <c r="C141" i="5"/>
  <c r="I140" i="5"/>
  <c r="F140" i="5"/>
  <c r="J140" i="5" s="1"/>
  <c r="C140" i="5"/>
  <c r="I139" i="5"/>
  <c r="F139" i="5"/>
  <c r="J139" i="5" s="1"/>
  <c r="C139" i="5"/>
  <c r="I138" i="5"/>
  <c r="F138" i="5"/>
  <c r="J138" i="5" s="1"/>
  <c r="I137" i="5"/>
  <c r="F137" i="5"/>
  <c r="J137" i="5" s="1"/>
  <c r="C137" i="5"/>
  <c r="I136" i="5"/>
  <c r="F136" i="5"/>
  <c r="J136" i="5" s="1"/>
  <c r="C136" i="5"/>
  <c r="I135" i="5"/>
  <c r="F135" i="5"/>
  <c r="J135" i="5" s="1"/>
  <c r="C135" i="5"/>
  <c r="I134" i="5"/>
  <c r="F134" i="5"/>
  <c r="J134" i="5" s="1"/>
  <c r="J132" i="5"/>
  <c r="I132" i="5"/>
  <c r="C132" i="5"/>
  <c r="J131" i="5"/>
  <c r="I131" i="5"/>
  <c r="C131" i="5"/>
  <c r="J130" i="5"/>
  <c r="I130" i="5"/>
  <c r="C130" i="5"/>
  <c r="J129" i="5"/>
  <c r="I129" i="5"/>
  <c r="C129" i="5"/>
  <c r="J128" i="5"/>
  <c r="I128" i="5"/>
  <c r="C128" i="5"/>
  <c r="J127" i="5"/>
  <c r="I127" i="5"/>
  <c r="C127" i="5"/>
  <c r="J126" i="5"/>
  <c r="I126" i="5"/>
  <c r="C126" i="5"/>
  <c r="K125" i="5"/>
  <c r="J125" i="5" s="1"/>
  <c r="I125" i="5"/>
  <c r="C125" i="5"/>
  <c r="K124" i="5"/>
  <c r="J124" i="5" s="1"/>
  <c r="I124" i="5"/>
  <c r="C124" i="5"/>
  <c r="J123" i="5"/>
  <c r="I123" i="5"/>
  <c r="C123" i="5"/>
  <c r="J122" i="5"/>
  <c r="I122" i="5"/>
  <c r="C122" i="5"/>
  <c r="J121" i="5"/>
  <c r="I121" i="5"/>
  <c r="C121" i="5"/>
  <c r="J120" i="5"/>
  <c r="I120" i="5"/>
  <c r="C120" i="5"/>
  <c r="K119" i="5"/>
  <c r="J119" i="5" s="1"/>
  <c r="I119" i="5"/>
  <c r="C119" i="5"/>
  <c r="J118" i="5"/>
  <c r="I118" i="5"/>
  <c r="C118" i="5"/>
  <c r="J117" i="5"/>
  <c r="I117" i="5"/>
  <c r="C117" i="5"/>
  <c r="J116" i="5"/>
  <c r="I116" i="5"/>
  <c r="C116" i="5"/>
  <c r="F115" i="5"/>
  <c r="J113" i="5"/>
  <c r="K113" i="5" s="1"/>
  <c r="I113" i="5"/>
  <c r="J112" i="5"/>
  <c r="I112" i="5"/>
  <c r="J111" i="5"/>
  <c r="B111" i="5"/>
  <c r="F110" i="5"/>
  <c r="I109" i="5"/>
  <c r="F109" i="5"/>
  <c r="J109" i="5" s="1"/>
  <c r="C109" i="5"/>
  <c r="I108" i="5"/>
  <c r="F108" i="5"/>
  <c r="J108" i="5" s="1"/>
  <c r="C108" i="5"/>
  <c r="J107" i="5"/>
  <c r="I107" i="5"/>
  <c r="C107" i="5"/>
  <c r="F106" i="5"/>
  <c r="J105" i="5"/>
  <c r="I105" i="5"/>
  <c r="C105" i="5"/>
  <c r="J104" i="5"/>
  <c r="I104" i="5"/>
  <c r="C104" i="5"/>
  <c r="F103" i="5"/>
  <c r="J102" i="5"/>
  <c r="I102" i="5"/>
  <c r="C102" i="5"/>
  <c r="J101" i="5"/>
  <c r="I101" i="5"/>
  <c r="C101" i="5"/>
  <c r="J100" i="5"/>
  <c r="I100" i="5"/>
  <c r="C100" i="5"/>
  <c r="J99" i="5"/>
  <c r="I99" i="5"/>
  <c r="C99" i="5"/>
  <c r="J98" i="5"/>
  <c r="I98" i="5"/>
  <c r="C98" i="5"/>
  <c r="J97" i="5"/>
  <c r="I97" i="5"/>
  <c r="C97" i="5"/>
  <c r="I96" i="5"/>
  <c r="F96" i="5"/>
  <c r="C96" i="5" s="1"/>
  <c r="I95" i="5"/>
  <c r="F95" i="5"/>
  <c r="C95" i="5" s="1"/>
  <c r="J94" i="5"/>
  <c r="I94" i="5"/>
  <c r="C94" i="5"/>
  <c r="J93" i="5"/>
  <c r="I93" i="5"/>
  <c r="C93" i="5"/>
  <c r="J92" i="5"/>
  <c r="I92" i="5"/>
  <c r="C92" i="5"/>
  <c r="J91" i="5"/>
  <c r="I91" i="5"/>
  <c r="C91" i="5"/>
  <c r="J90" i="5"/>
  <c r="I90" i="5"/>
  <c r="C90" i="5"/>
  <c r="J88" i="5"/>
  <c r="I88" i="5"/>
  <c r="C88" i="5"/>
  <c r="J87" i="5"/>
  <c r="C87" i="5"/>
  <c r="J86" i="5"/>
  <c r="I86" i="5"/>
  <c r="C86" i="5"/>
  <c r="J85" i="5"/>
  <c r="I85" i="5"/>
  <c r="C85" i="5"/>
  <c r="K84" i="5"/>
  <c r="F84" i="5"/>
  <c r="J84" i="5" s="1"/>
  <c r="J83" i="5"/>
  <c r="I83" i="5"/>
  <c r="C83" i="5"/>
  <c r="J82" i="5"/>
  <c r="I82" i="5"/>
  <c r="C82" i="5"/>
  <c r="K81" i="5"/>
  <c r="F81" i="5"/>
  <c r="J80" i="5"/>
  <c r="I80" i="5"/>
  <c r="C80" i="5"/>
  <c r="K79" i="5"/>
  <c r="F79" i="5"/>
  <c r="I78" i="5"/>
  <c r="F78" i="5"/>
  <c r="C78" i="5" s="1"/>
  <c r="I77" i="5"/>
  <c r="F77" i="5"/>
  <c r="K77" i="5" s="1"/>
  <c r="K76" i="5"/>
  <c r="J76" i="5" s="1"/>
  <c r="I76" i="5"/>
  <c r="C76" i="5"/>
  <c r="K75" i="5"/>
  <c r="J75" i="5" s="1"/>
  <c r="I75" i="5"/>
  <c r="C75" i="5"/>
  <c r="K74" i="5"/>
  <c r="J74" i="5" s="1"/>
  <c r="I74" i="5"/>
  <c r="C74" i="5"/>
  <c r="F73" i="5"/>
  <c r="J72" i="5"/>
  <c r="J70" i="5" s="1"/>
  <c r="I72" i="5"/>
  <c r="C72" i="5"/>
  <c r="J71" i="5"/>
  <c r="I71" i="5"/>
  <c r="C71" i="5"/>
  <c r="K70" i="5"/>
  <c r="F70" i="5"/>
  <c r="J69" i="5"/>
  <c r="I69" i="5"/>
  <c r="C69" i="5"/>
  <c r="J68" i="5"/>
  <c r="I68" i="5"/>
  <c r="C68" i="5"/>
  <c r="K67" i="5"/>
  <c r="F67" i="5"/>
  <c r="J66" i="5"/>
  <c r="I66" i="5"/>
  <c r="C66" i="5"/>
  <c r="J65" i="5"/>
  <c r="I65" i="5"/>
  <c r="C65" i="5"/>
  <c r="K64" i="5"/>
  <c r="F64" i="5"/>
  <c r="J63" i="5"/>
  <c r="I63" i="5"/>
  <c r="J62" i="5"/>
  <c r="J61" i="5"/>
  <c r="I61" i="5"/>
  <c r="I60" i="5"/>
  <c r="I59" i="5"/>
  <c r="K58" i="5"/>
  <c r="F58" i="5"/>
  <c r="I57" i="5"/>
  <c r="F57" i="5"/>
  <c r="K57" i="5" s="1"/>
  <c r="I56" i="5"/>
  <c r="F56" i="5"/>
  <c r="C56" i="5" s="1"/>
  <c r="J54" i="5"/>
  <c r="I54" i="5"/>
  <c r="C54" i="5"/>
  <c r="J53" i="5"/>
  <c r="I53" i="5"/>
  <c r="J52" i="5"/>
  <c r="I52" i="5"/>
  <c r="C52" i="5"/>
  <c r="J51" i="5"/>
  <c r="I51" i="5"/>
  <c r="C51" i="5"/>
  <c r="F50" i="5"/>
  <c r="J49" i="5"/>
  <c r="K49" i="5" s="1"/>
  <c r="K41" i="5" s="1"/>
  <c r="I49" i="5"/>
  <c r="J48" i="5"/>
  <c r="I48" i="5"/>
  <c r="I47" i="5"/>
  <c r="I46" i="5"/>
  <c r="J45" i="5"/>
  <c r="I45" i="5"/>
  <c r="J44" i="5"/>
  <c r="I44" i="5"/>
  <c r="J43" i="5"/>
  <c r="I43" i="5"/>
  <c r="J42" i="5"/>
  <c r="I42" i="5"/>
  <c r="F41" i="5"/>
  <c r="J40" i="5"/>
  <c r="I40" i="5"/>
  <c r="J39" i="5"/>
  <c r="I39" i="5"/>
  <c r="J38" i="5"/>
  <c r="I38" i="5"/>
  <c r="J37" i="5"/>
  <c r="I37" i="5"/>
  <c r="J36" i="5"/>
  <c r="I36" i="5"/>
  <c r="J35" i="5"/>
  <c r="I35" i="5"/>
  <c r="K34" i="5"/>
  <c r="F34" i="5"/>
  <c r="J32" i="5"/>
  <c r="K32" i="5" s="1"/>
  <c r="I32" i="5"/>
  <c r="J31" i="5"/>
  <c r="K31" i="5" s="1"/>
  <c r="I31" i="5"/>
  <c r="J30" i="5"/>
  <c r="K30" i="5" s="1"/>
  <c r="I30" i="5"/>
  <c r="J29" i="5"/>
  <c r="K29" i="5" s="1"/>
  <c r="I29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K18" i="5" s="1"/>
  <c r="I18" i="5"/>
  <c r="J17" i="5"/>
  <c r="I17" i="5"/>
  <c r="J16" i="5"/>
  <c r="K16" i="5" s="1"/>
  <c r="I16" i="5"/>
  <c r="J15" i="5"/>
  <c r="I15" i="5"/>
  <c r="J14" i="5"/>
  <c r="K14" i="5" s="1"/>
  <c r="I14" i="5"/>
  <c r="J13" i="5"/>
  <c r="K13" i="5" s="1"/>
  <c r="I13" i="5"/>
  <c r="J12" i="5"/>
  <c r="K12" i="5" s="1"/>
  <c r="I12" i="5"/>
  <c r="J11" i="5"/>
  <c r="I11" i="5"/>
  <c r="K10" i="5"/>
  <c r="I10" i="5"/>
  <c r="J9" i="5"/>
  <c r="K9" i="5" s="1"/>
  <c r="I9" i="5"/>
  <c r="J8" i="5"/>
  <c r="K8" i="5" s="1"/>
  <c r="I8" i="5"/>
  <c r="J7" i="5"/>
  <c r="K7" i="5" s="1"/>
  <c r="I7" i="5"/>
  <c r="J6" i="5"/>
  <c r="K6" i="5" s="1"/>
  <c r="I6" i="5"/>
  <c r="F5" i="5"/>
  <c r="J189" i="5" l="1"/>
  <c r="K55" i="5"/>
  <c r="F55" i="5"/>
  <c r="F33" i="5" s="1"/>
  <c r="J96" i="5"/>
  <c r="J110" i="5"/>
  <c r="K142" i="5"/>
  <c r="J142" i="5" s="1"/>
  <c r="F174" i="5"/>
  <c r="J185" i="5"/>
  <c r="J67" i="5"/>
  <c r="F89" i="5"/>
  <c r="J58" i="5"/>
  <c r="J95" i="5"/>
  <c r="J106" i="5"/>
  <c r="C134" i="5"/>
  <c r="C138" i="5"/>
  <c r="C142" i="5"/>
  <c r="C183" i="5"/>
  <c r="K73" i="5"/>
  <c r="J81" i="5"/>
  <c r="J89" i="5"/>
  <c r="J103" i="5"/>
  <c r="J78" i="5"/>
  <c r="J175" i="5"/>
  <c r="J176" i="5"/>
  <c r="J64" i="5"/>
  <c r="J79" i="5"/>
  <c r="J170" i="5"/>
  <c r="J171" i="5"/>
  <c r="F182" i="5"/>
  <c r="J182" i="5" s="1"/>
  <c r="J184" i="5"/>
  <c r="J34" i="5"/>
  <c r="C171" i="5"/>
  <c r="J115" i="5"/>
  <c r="J143" i="5"/>
  <c r="K133" i="5"/>
  <c r="K50" i="5"/>
  <c r="J56" i="5"/>
  <c r="J57" i="5"/>
  <c r="J172" i="5"/>
  <c r="F177" i="5"/>
  <c r="F187" i="5"/>
  <c r="C57" i="5"/>
  <c r="J77" i="5"/>
  <c r="J73" i="5" s="1"/>
  <c r="F133" i="5"/>
  <c r="F114" i="5" s="1"/>
  <c r="C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C172" i="5"/>
  <c r="J173" i="5"/>
  <c r="J178" i="5"/>
  <c r="J179" i="5"/>
  <c r="J180" i="5"/>
  <c r="J181" i="5"/>
  <c r="J188" i="5"/>
  <c r="J187" i="5" s="1"/>
  <c r="C77" i="5"/>
  <c r="K115" i="5"/>
  <c r="C169" i="5"/>
  <c r="F50" i="4"/>
  <c r="J55" i="5" l="1"/>
  <c r="J33" i="5"/>
  <c r="K33" i="5"/>
  <c r="J133" i="5"/>
  <c r="J114" i="5" s="1"/>
  <c r="J174" i="5"/>
  <c r="F197" i="5"/>
  <c r="M5" i="5"/>
  <c r="K114" i="5"/>
  <c r="K197" i="5" s="1"/>
  <c r="J177" i="5"/>
  <c r="J23" i="4"/>
  <c r="K23" i="4" s="1"/>
  <c r="I23" i="4"/>
  <c r="J22" i="4"/>
  <c r="K22" i="4" s="1"/>
  <c r="I22" i="4"/>
  <c r="J21" i="4"/>
  <c r="K21" i="4" s="1"/>
  <c r="I21" i="4"/>
  <c r="F112" i="4"/>
  <c r="K116" i="4"/>
  <c r="F116" i="4"/>
  <c r="J116" i="4"/>
  <c r="J120" i="4" s="1"/>
  <c r="I117" i="4"/>
  <c r="C117" i="4"/>
  <c r="J115" i="4"/>
  <c r="I115" i="4"/>
  <c r="C115" i="4"/>
  <c r="I36" i="4"/>
  <c r="J197" i="5" l="1"/>
  <c r="I20" i="4"/>
  <c r="J19" i="4"/>
  <c r="K19" i="4" s="1"/>
  <c r="I19" i="4"/>
  <c r="J18" i="4"/>
  <c r="K18" i="4" s="1"/>
  <c r="I18" i="4"/>
  <c r="J17" i="4"/>
  <c r="K17" i="4" s="1"/>
  <c r="I17" i="4"/>
  <c r="J16" i="4"/>
  <c r="K16" i="4" s="1"/>
  <c r="I16" i="4"/>
  <c r="J15" i="4"/>
  <c r="K15" i="4" s="1"/>
  <c r="I15" i="4"/>
  <c r="J14" i="4"/>
  <c r="K14" i="4" s="1"/>
  <c r="I14" i="4"/>
  <c r="J13" i="4"/>
  <c r="K13" i="4" s="1"/>
  <c r="I13" i="4"/>
  <c r="J12" i="4"/>
  <c r="K12" i="4" s="1"/>
  <c r="I12" i="4"/>
  <c r="J11" i="4"/>
  <c r="K11" i="4" s="1"/>
  <c r="I11" i="4"/>
  <c r="I119" i="4"/>
  <c r="J119" i="4"/>
  <c r="J118" i="4" s="1"/>
  <c r="C119" i="4"/>
  <c r="F118" i="4"/>
  <c r="J91" i="4" l="1"/>
  <c r="K91" i="4" s="1"/>
  <c r="I91" i="4"/>
  <c r="J90" i="4"/>
  <c r="I90" i="4"/>
  <c r="I38" i="4"/>
  <c r="I37" i="4"/>
  <c r="F39" i="4"/>
  <c r="J89" i="4"/>
  <c r="B89" i="4"/>
  <c r="F44" i="4" l="1"/>
  <c r="J43" i="4" l="1"/>
  <c r="I43" i="4"/>
  <c r="C43" i="4"/>
  <c r="J65" i="4"/>
  <c r="I65" i="4"/>
  <c r="C65" i="4"/>
  <c r="J64" i="4"/>
  <c r="I64" i="4"/>
  <c r="C64" i="4"/>
  <c r="J69" i="4" l="1"/>
  <c r="J49" i="4"/>
  <c r="J48" i="4"/>
  <c r="J47" i="4"/>
  <c r="I47" i="4"/>
  <c r="I46" i="4" l="1"/>
  <c r="F56" i="4" l="1"/>
  <c r="I57" i="4"/>
  <c r="J57" i="4"/>
  <c r="C57" i="4"/>
  <c r="F66" i="4" l="1"/>
  <c r="C69" i="4"/>
  <c r="I29" i="4" l="1"/>
  <c r="I114" i="4" l="1"/>
  <c r="C114" i="4"/>
  <c r="I113" i="4"/>
  <c r="C113" i="4"/>
  <c r="I111" i="4"/>
  <c r="I110" i="4"/>
  <c r="I109" i="4"/>
  <c r="I108" i="4"/>
  <c r="I107" i="4"/>
  <c r="I106" i="4"/>
  <c r="I105" i="4"/>
  <c r="I104" i="4"/>
  <c r="C104" i="4"/>
  <c r="I103" i="4"/>
  <c r="C103" i="4"/>
  <c r="I102" i="4"/>
  <c r="I101" i="4"/>
  <c r="J101" i="4"/>
  <c r="I99" i="4"/>
  <c r="J99" i="4"/>
  <c r="I98" i="4"/>
  <c r="J98" i="4"/>
  <c r="I97" i="4"/>
  <c r="I96" i="4"/>
  <c r="J96" i="4"/>
  <c r="I95" i="4"/>
  <c r="J95" i="4"/>
  <c r="I94" i="4"/>
  <c r="J94" i="4"/>
  <c r="I87" i="4"/>
  <c r="J85" i="4"/>
  <c r="I85" i="4"/>
  <c r="C85" i="4"/>
  <c r="J84" i="4"/>
  <c r="I84" i="4"/>
  <c r="C84" i="4"/>
  <c r="F83" i="4"/>
  <c r="I82" i="4"/>
  <c r="J82" i="4"/>
  <c r="I81" i="4"/>
  <c r="J81" i="4"/>
  <c r="I80" i="4"/>
  <c r="J80" i="4"/>
  <c r="I79" i="4"/>
  <c r="J79" i="4"/>
  <c r="C79" i="4"/>
  <c r="I78" i="4"/>
  <c r="J78" i="4"/>
  <c r="I77" i="4"/>
  <c r="J77" i="4"/>
  <c r="I76" i="4"/>
  <c r="J76" i="4"/>
  <c r="I75" i="4"/>
  <c r="J75" i="4"/>
  <c r="I74" i="4"/>
  <c r="J74" i="4"/>
  <c r="I73" i="4"/>
  <c r="J73" i="4"/>
  <c r="C73" i="4"/>
  <c r="I72" i="4"/>
  <c r="J72" i="4"/>
  <c r="J70" i="4"/>
  <c r="I70" i="4"/>
  <c r="C70" i="4"/>
  <c r="I68" i="4"/>
  <c r="J68" i="4"/>
  <c r="C68" i="4"/>
  <c r="I67" i="4"/>
  <c r="C67" i="4"/>
  <c r="K63" i="4"/>
  <c r="I62" i="4"/>
  <c r="I61" i="4"/>
  <c r="I60" i="4"/>
  <c r="C60" i="4"/>
  <c r="J58" i="4"/>
  <c r="J56" i="4" s="1"/>
  <c r="I58" i="4"/>
  <c r="C58" i="4"/>
  <c r="J55" i="4"/>
  <c r="I55" i="4"/>
  <c r="C55" i="4"/>
  <c r="I54" i="4"/>
  <c r="J52" i="4"/>
  <c r="I52" i="4"/>
  <c r="C52" i="4"/>
  <c r="I51" i="4"/>
  <c r="K50" i="4"/>
  <c r="I49" i="4"/>
  <c r="I45" i="4"/>
  <c r="J42" i="4"/>
  <c r="I42" i="4"/>
  <c r="J41" i="4"/>
  <c r="I41" i="4"/>
  <c r="C41" i="4"/>
  <c r="J40" i="4"/>
  <c r="I40" i="4"/>
  <c r="C40" i="4"/>
  <c r="I35" i="4"/>
  <c r="J35" i="4"/>
  <c r="I34" i="4"/>
  <c r="J34" i="4"/>
  <c r="J33" i="4"/>
  <c r="I33" i="4"/>
  <c r="I32" i="4"/>
  <c r="J32" i="4"/>
  <c r="I30" i="4"/>
  <c r="I28" i="4"/>
  <c r="I27" i="4"/>
  <c r="I26" i="4"/>
  <c r="J26" i="4"/>
  <c r="J25" i="4" s="1"/>
  <c r="K25" i="4"/>
  <c r="I10" i="4"/>
  <c r="J10" i="4"/>
  <c r="K10" i="4" s="1"/>
  <c r="I9" i="4"/>
  <c r="I8" i="4"/>
  <c r="J8" i="4"/>
  <c r="K8" i="4" s="1"/>
  <c r="I7" i="4"/>
  <c r="J7" i="4"/>
  <c r="K7" i="4" s="1"/>
  <c r="I6" i="4"/>
  <c r="J39" i="4" l="1"/>
  <c r="J31" i="4"/>
  <c r="J71" i="4"/>
  <c r="F88" i="4"/>
  <c r="J62" i="4"/>
  <c r="C94" i="4"/>
  <c r="K31" i="4"/>
  <c r="C80" i="4"/>
  <c r="C101" i="4"/>
  <c r="C98" i="4"/>
  <c r="J61" i="4"/>
  <c r="J103" i="4"/>
  <c r="J104" i="4"/>
  <c r="C61" i="4"/>
  <c r="C74" i="4"/>
  <c r="C99" i="4"/>
  <c r="J88" i="4"/>
  <c r="C97" i="4"/>
  <c r="C102" i="4"/>
  <c r="J114" i="4"/>
  <c r="J113" i="4"/>
  <c r="J63" i="4"/>
  <c r="J83" i="4"/>
  <c r="C54" i="4"/>
  <c r="K53" i="4"/>
  <c r="J50" i="4"/>
  <c r="K44" i="4"/>
  <c r="K39" i="4" s="1"/>
  <c r="C106" i="4"/>
  <c r="J106" i="4"/>
  <c r="C110" i="4"/>
  <c r="J110" i="4"/>
  <c r="J9" i="4"/>
  <c r="K9" i="4" s="1"/>
  <c r="K5" i="4" s="1"/>
  <c r="J51" i="4"/>
  <c r="C62" i="4"/>
  <c r="C72" i="4"/>
  <c r="C76" i="4"/>
  <c r="C78" i="4"/>
  <c r="C82" i="4"/>
  <c r="C96" i="4"/>
  <c r="J97" i="4"/>
  <c r="J87" i="4"/>
  <c r="J86" i="4" s="1"/>
  <c r="F53" i="4"/>
  <c r="F24" i="4" s="1"/>
  <c r="C108" i="4"/>
  <c r="J108" i="4"/>
  <c r="C51" i="4"/>
  <c r="K66" i="4"/>
  <c r="C75" i="4"/>
  <c r="C77" i="4"/>
  <c r="C81" i="4"/>
  <c r="C87" i="4"/>
  <c r="C95" i="4"/>
  <c r="C105" i="4"/>
  <c r="J105" i="4"/>
  <c r="C107" i="4"/>
  <c r="J107" i="4"/>
  <c r="C109" i="4"/>
  <c r="J109" i="4"/>
  <c r="C111" i="4"/>
  <c r="J111" i="4"/>
  <c r="F48" i="3"/>
  <c r="C6" i="3"/>
  <c r="F6" i="3" s="1"/>
  <c r="K6" i="3" s="1"/>
  <c r="I6" i="3"/>
  <c r="N162" i="3"/>
  <c r="I186" i="3"/>
  <c r="F186" i="3"/>
  <c r="J186" i="3" s="1"/>
  <c r="I185" i="3"/>
  <c r="F185" i="3"/>
  <c r="J185" i="3" s="1"/>
  <c r="I184" i="3"/>
  <c r="F184" i="3"/>
  <c r="J184" i="3" s="1"/>
  <c r="I183" i="3"/>
  <c r="F183" i="3"/>
  <c r="C183" i="3" s="1"/>
  <c r="I181" i="3"/>
  <c r="F181" i="3"/>
  <c r="C181" i="3" s="1"/>
  <c r="I179" i="3"/>
  <c r="F179" i="3"/>
  <c r="C179" i="3" s="1"/>
  <c r="I178" i="3"/>
  <c r="F178" i="3"/>
  <c r="C178" i="3" s="1"/>
  <c r="I177" i="3"/>
  <c r="F177" i="3"/>
  <c r="J177" i="3" s="1"/>
  <c r="I176" i="3"/>
  <c r="F176" i="3"/>
  <c r="C176" i="3" s="1"/>
  <c r="I174" i="3"/>
  <c r="F174" i="3"/>
  <c r="J174" i="3" s="1"/>
  <c r="I173" i="3"/>
  <c r="F173" i="3"/>
  <c r="C173" i="3" s="1"/>
  <c r="I172" i="3"/>
  <c r="F172" i="3"/>
  <c r="J172" i="3" s="1"/>
  <c r="I171" i="3"/>
  <c r="F171" i="3"/>
  <c r="I169" i="3"/>
  <c r="F169" i="3"/>
  <c r="J169" i="3" s="1"/>
  <c r="I168" i="3"/>
  <c r="F168" i="3"/>
  <c r="J168" i="3" s="1"/>
  <c r="I166" i="3"/>
  <c r="F166" i="3"/>
  <c r="C166" i="3" s="1"/>
  <c r="I165" i="3"/>
  <c r="F165" i="3"/>
  <c r="K165" i="3" s="1"/>
  <c r="J165" i="3" s="1"/>
  <c r="I164" i="3"/>
  <c r="F164" i="3"/>
  <c r="I163" i="3"/>
  <c r="F163" i="3"/>
  <c r="C163" i="3" s="1"/>
  <c r="I162" i="3"/>
  <c r="F162" i="3"/>
  <c r="C162" i="3" s="1"/>
  <c r="I161" i="3"/>
  <c r="F161" i="3"/>
  <c r="J161" i="3" s="1"/>
  <c r="I160" i="3"/>
  <c r="F160" i="3"/>
  <c r="J160" i="3" s="1"/>
  <c r="I159" i="3"/>
  <c r="F159" i="3"/>
  <c r="J159" i="3" s="1"/>
  <c r="I158" i="3"/>
  <c r="F158" i="3"/>
  <c r="C158" i="3" s="1"/>
  <c r="I157" i="3"/>
  <c r="F157" i="3"/>
  <c r="J157" i="3" s="1"/>
  <c r="I156" i="3"/>
  <c r="F156" i="3"/>
  <c r="J156" i="3" s="1"/>
  <c r="I155" i="3"/>
  <c r="F155" i="3"/>
  <c r="C155" i="3" s="1"/>
  <c r="I154" i="3"/>
  <c r="F154" i="3"/>
  <c r="J154" i="3" s="1"/>
  <c r="I153" i="3"/>
  <c r="F153" i="3"/>
  <c r="C153" i="3" s="1"/>
  <c r="I152" i="3"/>
  <c r="F152" i="3"/>
  <c r="C152" i="3" s="1"/>
  <c r="I151" i="3"/>
  <c r="F151" i="3"/>
  <c r="J151" i="3" s="1"/>
  <c r="I150" i="3"/>
  <c r="F150" i="3"/>
  <c r="C150" i="3" s="1"/>
  <c r="I149" i="3"/>
  <c r="F149" i="3"/>
  <c r="J149" i="3" s="1"/>
  <c r="I148" i="3"/>
  <c r="F148" i="3"/>
  <c r="J148" i="3" s="1"/>
  <c r="I147" i="3"/>
  <c r="F147" i="3"/>
  <c r="C147" i="3" s="1"/>
  <c r="I146" i="3"/>
  <c r="F146" i="3"/>
  <c r="C146" i="3" s="1"/>
  <c r="I145" i="3"/>
  <c r="F145" i="3"/>
  <c r="J145" i="3" s="1"/>
  <c r="I144" i="3"/>
  <c r="F144" i="3"/>
  <c r="J144" i="3" s="1"/>
  <c r="I143" i="3"/>
  <c r="F143" i="3"/>
  <c r="J143" i="3" s="1"/>
  <c r="I142" i="3"/>
  <c r="F142" i="3"/>
  <c r="J142" i="3" s="1"/>
  <c r="I141" i="3"/>
  <c r="F141" i="3"/>
  <c r="C141" i="3" s="1"/>
  <c r="I140" i="3"/>
  <c r="F140" i="3"/>
  <c r="C140" i="3" s="1"/>
  <c r="I139" i="3"/>
  <c r="F139" i="3"/>
  <c r="J139" i="3" s="1"/>
  <c r="I138" i="3"/>
  <c r="F138" i="3"/>
  <c r="J138" i="3" s="1"/>
  <c r="I137" i="3"/>
  <c r="F137" i="3"/>
  <c r="J137" i="3" s="1"/>
  <c r="I136" i="3"/>
  <c r="F136" i="3"/>
  <c r="I135" i="3"/>
  <c r="F135" i="3"/>
  <c r="K135" i="3" s="1"/>
  <c r="I134" i="3"/>
  <c r="F134" i="3"/>
  <c r="J134" i="3" s="1"/>
  <c r="I133" i="3"/>
  <c r="F133" i="3"/>
  <c r="C133" i="3" s="1"/>
  <c r="I132" i="3"/>
  <c r="F132" i="3"/>
  <c r="J132" i="3" s="1"/>
  <c r="I131" i="3"/>
  <c r="F131" i="3"/>
  <c r="J131" i="3" s="1"/>
  <c r="I130" i="3"/>
  <c r="F130" i="3"/>
  <c r="J130" i="3" s="1"/>
  <c r="I129" i="3"/>
  <c r="F129" i="3"/>
  <c r="J129" i="3" s="1"/>
  <c r="I128" i="3"/>
  <c r="F128" i="3"/>
  <c r="J128" i="3" s="1"/>
  <c r="I127" i="3"/>
  <c r="F127" i="3"/>
  <c r="C127" i="3" s="1"/>
  <c r="I125" i="3"/>
  <c r="F125" i="3"/>
  <c r="C125" i="3" s="1"/>
  <c r="I124" i="3"/>
  <c r="F124" i="3"/>
  <c r="J124" i="3" s="1"/>
  <c r="I123" i="3"/>
  <c r="F123" i="3"/>
  <c r="J123" i="3" s="1"/>
  <c r="I122" i="3"/>
  <c r="F122" i="3"/>
  <c r="C122" i="3" s="1"/>
  <c r="I121" i="3"/>
  <c r="F121" i="3"/>
  <c r="J121" i="3" s="1"/>
  <c r="I120" i="3"/>
  <c r="F120" i="3"/>
  <c r="C120" i="3" s="1"/>
  <c r="I119" i="3"/>
  <c r="F119" i="3"/>
  <c r="C119" i="3" s="1"/>
  <c r="I118" i="3"/>
  <c r="F118" i="3"/>
  <c r="I117" i="3"/>
  <c r="F117" i="3"/>
  <c r="J117" i="3" s="1"/>
  <c r="I116" i="3"/>
  <c r="F116" i="3"/>
  <c r="C116" i="3" s="1"/>
  <c r="I115" i="3"/>
  <c r="F115" i="3"/>
  <c r="I114" i="3"/>
  <c r="F114" i="3"/>
  <c r="C114" i="3" s="1"/>
  <c r="I113" i="3"/>
  <c r="F113" i="3"/>
  <c r="C113" i="3" s="1"/>
  <c r="I112" i="3"/>
  <c r="F112" i="3"/>
  <c r="C112" i="3" s="1"/>
  <c r="I111" i="3"/>
  <c r="F111" i="3"/>
  <c r="I110" i="3"/>
  <c r="F110" i="3"/>
  <c r="J110" i="3" s="1"/>
  <c r="I109" i="3"/>
  <c r="F109" i="3"/>
  <c r="C109" i="3" s="1"/>
  <c r="I108" i="3"/>
  <c r="F108" i="3"/>
  <c r="I107" i="3"/>
  <c r="F107" i="3"/>
  <c r="K107" i="3" s="1"/>
  <c r="I106" i="3"/>
  <c r="F106" i="3"/>
  <c r="C106" i="3" s="1"/>
  <c r="I105" i="3"/>
  <c r="F105" i="3"/>
  <c r="C105" i="3" s="1"/>
  <c r="I104" i="3"/>
  <c r="F104" i="3"/>
  <c r="J104" i="3" s="1"/>
  <c r="I101" i="3"/>
  <c r="F101" i="3"/>
  <c r="C101" i="3" s="1"/>
  <c r="I100" i="3"/>
  <c r="F100" i="3"/>
  <c r="C100" i="3" s="1"/>
  <c r="I99" i="3"/>
  <c r="F99" i="3"/>
  <c r="C99" i="3" s="1"/>
  <c r="I97" i="3"/>
  <c r="F97" i="3"/>
  <c r="C97" i="3" s="1"/>
  <c r="I96" i="3"/>
  <c r="F96" i="3"/>
  <c r="J96" i="3" s="1"/>
  <c r="I95" i="3"/>
  <c r="F95" i="3"/>
  <c r="C95" i="3" s="1"/>
  <c r="I93" i="3"/>
  <c r="F93" i="3"/>
  <c r="J93" i="3" s="1"/>
  <c r="I92" i="3"/>
  <c r="F92" i="3"/>
  <c r="I90" i="3"/>
  <c r="F90" i="3"/>
  <c r="J90" i="3" s="1"/>
  <c r="I89" i="3"/>
  <c r="F89" i="3"/>
  <c r="J89" i="3" s="1"/>
  <c r="I88" i="3"/>
  <c r="F88" i="3"/>
  <c r="C88" i="3" s="1"/>
  <c r="I87" i="3"/>
  <c r="F87" i="3"/>
  <c r="J87" i="3" s="1"/>
  <c r="I86" i="3"/>
  <c r="F86" i="3"/>
  <c r="C86" i="3" s="1"/>
  <c r="I85" i="3"/>
  <c r="F85" i="3"/>
  <c r="J85" i="3" s="1"/>
  <c r="I84" i="3"/>
  <c r="F84" i="3"/>
  <c r="J84" i="3" s="1"/>
  <c r="I83" i="3"/>
  <c r="F83" i="3"/>
  <c r="J83" i="3" s="1"/>
  <c r="I82" i="3"/>
  <c r="F82" i="3"/>
  <c r="J82" i="3" s="1"/>
  <c r="I81" i="3"/>
  <c r="F81" i="3"/>
  <c r="J81" i="3" s="1"/>
  <c r="I80" i="3"/>
  <c r="F80" i="3"/>
  <c r="J80" i="3" s="1"/>
  <c r="I79" i="3"/>
  <c r="F79" i="3"/>
  <c r="C79" i="3" s="1"/>
  <c r="I78" i="3"/>
  <c r="F78" i="3"/>
  <c r="C78" i="3" s="1"/>
  <c r="I76" i="3"/>
  <c r="F76" i="3"/>
  <c r="I75" i="3"/>
  <c r="F75" i="3"/>
  <c r="J75" i="3" s="1"/>
  <c r="K74" i="3"/>
  <c r="I73" i="3"/>
  <c r="F73" i="3"/>
  <c r="K73" i="3" s="1"/>
  <c r="I72" i="3"/>
  <c r="F72" i="3"/>
  <c r="K72" i="3" s="1"/>
  <c r="I71" i="3"/>
  <c r="F71" i="3"/>
  <c r="K71" i="3" s="1"/>
  <c r="I69" i="3"/>
  <c r="F69" i="3"/>
  <c r="K69" i="3" s="1"/>
  <c r="K68" i="3" s="1"/>
  <c r="I67" i="3"/>
  <c r="F67" i="3"/>
  <c r="K67" i="3" s="1"/>
  <c r="I66" i="3"/>
  <c r="F66" i="3"/>
  <c r="I64" i="3"/>
  <c r="F64" i="3"/>
  <c r="J64" i="3" s="1"/>
  <c r="I63" i="3"/>
  <c r="F63" i="3"/>
  <c r="I62" i="3"/>
  <c r="F62" i="3"/>
  <c r="K62" i="3" s="1"/>
  <c r="I61" i="3"/>
  <c r="F61" i="3"/>
  <c r="K61" i="3" s="1"/>
  <c r="I60" i="3"/>
  <c r="F60" i="3"/>
  <c r="C60" i="3" s="1"/>
  <c r="I58" i="3"/>
  <c r="F58" i="3"/>
  <c r="J58" i="3" s="1"/>
  <c r="J57" i="3" s="1"/>
  <c r="K57" i="3"/>
  <c r="I56" i="3"/>
  <c r="F56" i="3"/>
  <c r="I55" i="3"/>
  <c r="F55" i="3"/>
  <c r="K55" i="3" s="1"/>
  <c r="I53" i="3"/>
  <c r="F53" i="3"/>
  <c r="C53" i="3" s="1"/>
  <c r="I52" i="3"/>
  <c r="F52" i="3"/>
  <c r="I50" i="3"/>
  <c r="F50" i="3"/>
  <c r="C50" i="3" s="1"/>
  <c r="I49" i="3"/>
  <c r="F49" i="3"/>
  <c r="K49" i="3" s="1"/>
  <c r="I47" i="3"/>
  <c r="F47" i="3"/>
  <c r="C47" i="3" s="1"/>
  <c r="I46" i="3"/>
  <c r="F46" i="3"/>
  <c r="J46" i="3" s="1"/>
  <c r="I45" i="3"/>
  <c r="F45" i="3"/>
  <c r="J45" i="3" s="1"/>
  <c r="I44" i="3"/>
  <c r="F44" i="3"/>
  <c r="K44" i="3" s="1"/>
  <c r="I43" i="3"/>
  <c r="F43" i="3"/>
  <c r="C43" i="3" s="1"/>
  <c r="I42" i="3"/>
  <c r="F42" i="3"/>
  <c r="I41" i="3"/>
  <c r="F41" i="3"/>
  <c r="J41" i="3" s="1"/>
  <c r="I39" i="3"/>
  <c r="F39" i="3"/>
  <c r="I38" i="3"/>
  <c r="F38" i="3"/>
  <c r="J38" i="3" s="1"/>
  <c r="I37" i="3"/>
  <c r="F37" i="3"/>
  <c r="J37" i="3" s="1"/>
  <c r="I36" i="3"/>
  <c r="F36" i="3"/>
  <c r="I35" i="3"/>
  <c r="F35" i="3"/>
  <c r="J35" i="3" s="1"/>
  <c r="I34" i="3"/>
  <c r="I33" i="3"/>
  <c r="F33" i="3"/>
  <c r="I31" i="3"/>
  <c r="F31" i="3"/>
  <c r="I29" i="3"/>
  <c r="F29" i="3"/>
  <c r="J29" i="3" s="1"/>
  <c r="I28" i="3"/>
  <c r="F28" i="3"/>
  <c r="I27" i="3"/>
  <c r="F27" i="3"/>
  <c r="I26" i="3"/>
  <c r="F26" i="3"/>
  <c r="J26" i="3" s="1"/>
  <c r="K25" i="3"/>
  <c r="I23" i="3"/>
  <c r="F23" i="3"/>
  <c r="J23" i="3" s="1"/>
  <c r="I22" i="3"/>
  <c r="F22" i="3"/>
  <c r="J22" i="3" s="1"/>
  <c r="I21" i="3"/>
  <c r="F21" i="3"/>
  <c r="J21" i="3" s="1"/>
  <c r="I20" i="3"/>
  <c r="F20" i="3"/>
  <c r="J20" i="3" s="1"/>
  <c r="I19" i="3"/>
  <c r="F19" i="3"/>
  <c r="J19" i="3" s="1"/>
  <c r="I18" i="3"/>
  <c r="I17" i="3"/>
  <c r="F17" i="3"/>
  <c r="J17" i="3" s="1"/>
  <c r="I16" i="3"/>
  <c r="I15" i="3"/>
  <c r="F15" i="3"/>
  <c r="J15" i="3" s="1"/>
  <c r="I14" i="3"/>
  <c r="F14" i="3"/>
  <c r="I13" i="3"/>
  <c r="F13" i="3"/>
  <c r="J13" i="3" s="1"/>
  <c r="K13" i="3" s="1"/>
  <c r="I12" i="3"/>
  <c r="I11" i="3"/>
  <c r="F11" i="3"/>
  <c r="K11" i="3" s="1"/>
  <c r="I10" i="3"/>
  <c r="F10" i="3"/>
  <c r="I9" i="3"/>
  <c r="F9" i="3"/>
  <c r="J9" i="3" s="1"/>
  <c r="K9" i="3" s="1"/>
  <c r="I8" i="3"/>
  <c r="F8" i="3"/>
  <c r="I7" i="3"/>
  <c r="F7" i="3"/>
  <c r="J7" i="3" s="1"/>
  <c r="F25" i="3" l="1"/>
  <c r="J112" i="4"/>
  <c r="J5" i="4"/>
  <c r="J93" i="4"/>
  <c r="J92" i="4" s="1"/>
  <c r="J59" i="4"/>
  <c r="K59" i="4"/>
  <c r="K24" i="4" s="1"/>
  <c r="K120" i="4" s="1"/>
  <c r="K93" i="4"/>
  <c r="K92" i="4" s="1"/>
  <c r="F120" i="4"/>
  <c r="J53" i="4"/>
  <c r="J54" i="4"/>
  <c r="J44" i="4"/>
  <c r="J66" i="4"/>
  <c r="J67" i="4"/>
  <c r="K22" i="3"/>
  <c r="K23" i="3"/>
  <c r="J163" i="3"/>
  <c r="C186" i="3"/>
  <c r="C174" i="3"/>
  <c r="J122" i="3"/>
  <c r="J106" i="3"/>
  <c r="C130" i="3"/>
  <c r="C143" i="3"/>
  <c r="C151" i="3"/>
  <c r="J152" i="3"/>
  <c r="C168" i="3"/>
  <c r="C45" i="3"/>
  <c r="K112" i="3"/>
  <c r="J112" i="3" s="1"/>
  <c r="C62" i="3"/>
  <c r="C142" i="3"/>
  <c r="C184" i="3"/>
  <c r="C41" i="3"/>
  <c r="K113" i="3"/>
  <c r="J113" i="3" s="1"/>
  <c r="C137" i="3"/>
  <c r="C44" i="3"/>
  <c r="C46" i="3"/>
  <c r="J67" i="3"/>
  <c r="C71" i="3"/>
  <c r="F74" i="3"/>
  <c r="F91" i="3"/>
  <c r="C96" i="3"/>
  <c r="J100" i="3"/>
  <c r="C110" i="3"/>
  <c r="J116" i="3"/>
  <c r="C128" i="3"/>
  <c r="C132" i="3"/>
  <c r="J133" i="3"/>
  <c r="C157" i="3"/>
  <c r="J158" i="3"/>
  <c r="F167" i="3"/>
  <c r="C49" i="3"/>
  <c r="C80" i="3"/>
  <c r="C82" i="3"/>
  <c r="C87" i="3"/>
  <c r="J88" i="3"/>
  <c r="J119" i="3"/>
  <c r="J141" i="3"/>
  <c r="J147" i="3"/>
  <c r="F170" i="3"/>
  <c r="J173" i="3"/>
  <c r="J27" i="3"/>
  <c r="C69" i="3"/>
  <c r="C75" i="3"/>
  <c r="C104" i="3"/>
  <c r="J125" i="3"/>
  <c r="C131" i="3"/>
  <c r="J146" i="3"/>
  <c r="C156" i="3"/>
  <c r="C81" i="3"/>
  <c r="C185" i="3"/>
  <c r="J49" i="3"/>
  <c r="C64" i="3"/>
  <c r="C67" i="3"/>
  <c r="C72" i="3"/>
  <c r="C83" i="3"/>
  <c r="C85" i="3"/>
  <c r="C90" i="3"/>
  <c r="C93" i="3"/>
  <c r="F94" i="3"/>
  <c r="J101" i="3"/>
  <c r="C107" i="3"/>
  <c r="J114" i="3"/>
  <c r="C117" i="3"/>
  <c r="J120" i="3"/>
  <c r="C123" i="3"/>
  <c r="J127" i="3"/>
  <c r="C135" i="3"/>
  <c r="C139" i="3"/>
  <c r="J140" i="3"/>
  <c r="C144" i="3"/>
  <c r="C149" i="3"/>
  <c r="J153" i="3"/>
  <c r="C159" i="3"/>
  <c r="C161" i="3"/>
  <c r="K162" i="3"/>
  <c r="J162" i="3" s="1"/>
  <c r="J166" i="3"/>
  <c r="C169" i="3"/>
  <c r="J28" i="3"/>
  <c r="J31" i="3"/>
  <c r="J34" i="3"/>
  <c r="J43" i="3"/>
  <c r="K50" i="3"/>
  <c r="J50" i="3" s="1"/>
  <c r="J79" i="3"/>
  <c r="J86" i="3"/>
  <c r="J95" i="3"/>
  <c r="J105" i="3"/>
  <c r="J109" i="3"/>
  <c r="J150" i="3"/>
  <c r="C154" i="3"/>
  <c r="J155" i="3"/>
  <c r="J183" i="3"/>
  <c r="J182" i="3" s="1"/>
  <c r="K53" i="3"/>
  <c r="J53" i="3" s="1"/>
  <c r="F77" i="3"/>
  <c r="F18" i="3"/>
  <c r="J18" i="3" s="1"/>
  <c r="J14" i="3"/>
  <c r="K14" i="3" s="1"/>
  <c r="K47" i="3"/>
  <c r="J47" i="3" s="1"/>
  <c r="C55" i="3"/>
  <c r="C58" i="3"/>
  <c r="K60" i="3"/>
  <c r="J60" i="3" s="1"/>
  <c r="J71" i="3"/>
  <c r="C73" i="3"/>
  <c r="C84" i="3"/>
  <c r="C89" i="3"/>
  <c r="C92" i="3"/>
  <c r="F98" i="3"/>
  <c r="C134" i="3"/>
  <c r="C138" i="3"/>
  <c r="C148" i="3"/>
  <c r="C160" i="3"/>
  <c r="C171" i="3"/>
  <c r="F175" i="3"/>
  <c r="J175" i="3" s="1"/>
  <c r="J178" i="3"/>
  <c r="F182" i="3"/>
  <c r="C61" i="3"/>
  <c r="C76" i="3"/>
  <c r="C129" i="3"/>
  <c r="C145" i="3"/>
  <c r="F16" i="3"/>
  <c r="J16" i="3" s="1"/>
  <c r="F12" i="3"/>
  <c r="J12" i="3" s="1"/>
  <c r="K15" i="3"/>
  <c r="K17" i="3"/>
  <c r="K19" i="3"/>
  <c r="F65" i="3"/>
  <c r="C66" i="3"/>
  <c r="K66" i="3"/>
  <c r="K65" i="3" s="1"/>
  <c r="J108" i="3"/>
  <c r="C108" i="3"/>
  <c r="J8" i="3"/>
  <c r="K8" i="3" s="1"/>
  <c r="J42" i="3"/>
  <c r="C42" i="3"/>
  <c r="F51" i="3"/>
  <c r="C52" i="3"/>
  <c r="K52" i="3"/>
  <c r="J118" i="3"/>
  <c r="C118" i="3"/>
  <c r="K7" i="3"/>
  <c r="J167" i="3"/>
  <c r="J111" i="3"/>
  <c r="C111" i="3"/>
  <c r="J36" i="3"/>
  <c r="J115" i="3"/>
  <c r="C115" i="3"/>
  <c r="C63" i="3"/>
  <c r="K63" i="3"/>
  <c r="C56" i="3"/>
  <c r="K56" i="3"/>
  <c r="J56" i="3" s="1"/>
  <c r="J33" i="3"/>
  <c r="K70" i="3"/>
  <c r="J10" i="3"/>
  <c r="K10" i="3" s="1"/>
  <c r="K39" i="3"/>
  <c r="K32" i="3" s="1"/>
  <c r="F54" i="3"/>
  <c r="J55" i="3"/>
  <c r="J62" i="3"/>
  <c r="F68" i="3"/>
  <c r="J68" i="3" s="1"/>
  <c r="J69" i="3"/>
  <c r="J73" i="3"/>
  <c r="J76" i="3"/>
  <c r="J74" i="3" s="1"/>
  <c r="J78" i="3"/>
  <c r="J92" i="3"/>
  <c r="J91" i="3" s="1"/>
  <c r="J97" i="3"/>
  <c r="J99" i="3"/>
  <c r="F103" i="3"/>
  <c r="J107" i="3"/>
  <c r="J135" i="3"/>
  <c r="K136" i="3"/>
  <c r="J136" i="3" s="1"/>
  <c r="K164" i="3"/>
  <c r="J164" i="3" s="1"/>
  <c r="J44" i="3"/>
  <c r="F57" i="3"/>
  <c r="J61" i="3"/>
  <c r="J72" i="3"/>
  <c r="C165" i="3"/>
  <c r="J171" i="3"/>
  <c r="J176" i="3"/>
  <c r="J179" i="3"/>
  <c r="J181" i="3"/>
  <c r="J180" i="3" s="1"/>
  <c r="F59" i="3"/>
  <c r="F70" i="3"/>
  <c r="C121" i="3"/>
  <c r="C124" i="3"/>
  <c r="C136" i="3"/>
  <c r="C164" i="3"/>
  <c r="C172" i="3"/>
  <c r="C177" i="3"/>
  <c r="F180" i="3"/>
  <c r="F126" i="3"/>
  <c r="F24" i="3" l="1"/>
  <c r="J24" i="4"/>
  <c r="K103" i="3"/>
  <c r="J170" i="3"/>
  <c r="J77" i="3"/>
  <c r="K51" i="3"/>
  <c r="J51" i="3" s="1"/>
  <c r="J98" i="3"/>
  <c r="K48" i="3"/>
  <c r="J48" i="3" s="1"/>
  <c r="J126" i="3"/>
  <c r="K59" i="3"/>
  <c r="J25" i="3"/>
  <c r="K40" i="3"/>
  <c r="J103" i="3"/>
  <c r="J63" i="3"/>
  <c r="J59" i="3" s="1"/>
  <c r="J70" i="3"/>
  <c r="J94" i="3"/>
  <c r="K54" i="3"/>
  <c r="K126" i="3"/>
  <c r="K102" i="3" s="1"/>
  <c r="J65" i="3"/>
  <c r="F102" i="3"/>
  <c r="J52" i="3"/>
  <c r="J66" i="3"/>
  <c r="J102" i="3" l="1"/>
  <c r="K24" i="3"/>
  <c r="K187" i="3" s="1"/>
  <c r="J54" i="3"/>
  <c r="J24" i="3"/>
  <c r="J187" i="3" s="1"/>
  <c r="F187" i="3"/>
  <c r="M5" i="3"/>
  <c r="N223" i="1" l="1"/>
  <c r="K116" i="1" l="1"/>
  <c r="K99" i="1"/>
  <c r="K68" i="1"/>
  <c r="I228" i="1" l="1"/>
  <c r="F228" i="1"/>
  <c r="J228" i="1" s="1"/>
  <c r="I227" i="1"/>
  <c r="F227" i="1"/>
  <c r="J227" i="1" s="1"/>
  <c r="I226" i="1"/>
  <c r="F226" i="1"/>
  <c r="J226" i="1" s="1"/>
  <c r="I225" i="1"/>
  <c r="F225" i="1"/>
  <c r="J225" i="1" s="1"/>
  <c r="I223" i="1"/>
  <c r="F223" i="1"/>
  <c r="J223" i="1" s="1"/>
  <c r="J222" i="1" s="1"/>
  <c r="I221" i="1"/>
  <c r="F221" i="1"/>
  <c r="J221" i="1" s="1"/>
  <c r="I220" i="1"/>
  <c r="F220" i="1"/>
  <c r="J220" i="1" s="1"/>
  <c r="I219" i="1"/>
  <c r="F219" i="1"/>
  <c r="J219" i="1" s="1"/>
  <c r="I218" i="1"/>
  <c r="F218" i="1"/>
  <c r="J218" i="1" s="1"/>
  <c r="I216" i="1"/>
  <c r="F216" i="1"/>
  <c r="J216" i="1" s="1"/>
  <c r="I215" i="1"/>
  <c r="F215" i="1"/>
  <c r="J215" i="1" s="1"/>
  <c r="I214" i="1"/>
  <c r="F214" i="1"/>
  <c r="J214" i="1" s="1"/>
  <c r="I213" i="1"/>
  <c r="F213" i="1"/>
  <c r="J213" i="1" s="1"/>
  <c r="I211" i="1"/>
  <c r="F211" i="1"/>
  <c r="J211" i="1" s="1"/>
  <c r="I210" i="1"/>
  <c r="F210" i="1"/>
  <c r="J210" i="1" s="1"/>
  <c r="I208" i="1"/>
  <c r="F208" i="1"/>
  <c r="J208" i="1" s="1"/>
  <c r="I207" i="1"/>
  <c r="F207" i="1"/>
  <c r="K207" i="1" s="1"/>
  <c r="J207" i="1" s="1"/>
  <c r="I206" i="1"/>
  <c r="F206" i="1"/>
  <c r="K206" i="1" s="1"/>
  <c r="J206" i="1" s="1"/>
  <c r="I205" i="1"/>
  <c r="F205" i="1"/>
  <c r="J205" i="1" s="1"/>
  <c r="I204" i="1"/>
  <c r="F204" i="1"/>
  <c r="K204" i="1" s="1"/>
  <c r="J204" i="1" s="1"/>
  <c r="I203" i="1"/>
  <c r="F203" i="1"/>
  <c r="J203" i="1" s="1"/>
  <c r="I202" i="1"/>
  <c r="F202" i="1"/>
  <c r="J202" i="1" s="1"/>
  <c r="I201" i="1"/>
  <c r="F201" i="1"/>
  <c r="J201" i="1" s="1"/>
  <c r="I200" i="1"/>
  <c r="F200" i="1"/>
  <c r="J200" i="1" s="1"/>
  <c r="I199" i="1"/>
  <c r="F199" i="1"/>
  <c r="J199" i="1" s="1"/>
  <c r="I198" i="1"/>
  <c r="F198" i="1"/>
  <c r="J198" i="1" s="1"/>
  <c r="I197" i="1"/>
  <c r="F197" i="1"/>
  <c r="J197" i="1" s="1"/>
  <c r="I196" i="1"/>
  <c r="F196" i="1"/>
  <c r="J196" i="1" s="1"/>
  <c r="I195" i="1"/>
  <c r="F195" i="1"/>
  <c r="J195" i="1" s="1"/>
  <c r="I194" i="1"/>
  <c r="F194" i="1"/>
  <c r="J194" i="1" s="1"/>
  <c r="I193" i="1"/>
  <c r="F193" i="1"/>
  <c r="J193" i="1" s="1"/>
  <c r="C193" i="1"/>
  <c r="I192" i="1"/>
  <c r="F192" i="1"/>
  <c r="J192" i="1" s="1"/>
  <c r="I191" i="1"/>
  <c r="F191" i="1"/>
  <c r="J191" i="1" s="1"/>
  <c r="I190" i="1"/>
  <c r="F190" i="1"/>
  <c r="J190" i="1" s="1"/>
  <c r="I189" i="1"/>
  <c r="F189" i="1"/>
  <c r="J189" i="1" s="1"/>
  <c r="I188" i="1"/>
  <c r="F188" i="1"/>
  <c r="J188" i="1" s="1"/>
  <c r="I187" i="1"/>
  <c r="F187" i="1"/>
  <c r="J187" i="1" s="1"/>
  <c r="I186" i="1"/>
  <c r="F186" i="1"/>
  <c r="J186" i="1" s="1"/>
  <c r="I185" i="1"/>
  <c r="F185" i="1"/>
  <c r="J185" i="1" s="1"/>
  <c r="I184" i="1"/>
  <c r="F184" i="1"/>
  <c r="J184" i="1" s="1"/>
  <c r="I183" i="1"/>
  <c r="F183" i="1"/>
  <c r="J183" i="1" s="1"/>
  <c r="I182" i="1"/>
  <c r="F182" i="1"/>
  <c r="J182" i="1" s="1"/>
  <c r="I181" i="1"/>
  <c r="F181" i="1"/>
  <c r="J181" i="1" s="1"/>
  <c r="I180" i="1"/>
  <c r="F180" i="1"/>
  <c r="J180" i="1" s="1"/>
  <c r="I179" i="1"/>
  <c r="F179" i="1"/>
  <c r="J179" i="1" s="1"/>
  <c r="I178" i="1"/>
  <c r="F178" i="1"/>
  <c r="K178" i="1" s="1"/>
  <c r="J178" i="1" s="1"/>
  <c r="I177" i="1"/>
  <c r="F177" i="1"/>
  <c r="K177" i="1" s="1"/>
  <c r="I176" i="1"/>
  <c r="F176" i="1"/>
  <c r="J176" i="1" s="1"/>
  <c r="I175" i="1"/>
  <c r="F175" i="1"/>
  <c r="J175" i="1" s="1"/>
  <c r="I174" i="1"/>
  <c r="F174" i="1"/>
  <c r="J174" i="1" s="1"/>
  <c r="I173" i="1"/>
  <c r="F173" i="1"/>
  <c r="J173" i="1" s="1"/>
  <c r="I172" i="1"/>
  <c r="F172" i="1"/>
  <c r="J172" i="1" s="1"/>
  <c r="I171" i="1"/>
  <c r="F171" i="1"/>
  <c r="J171" i="1" s="1"/>
  <c r="I170" i="1"/>
  <c r="F170" i="1"/>
  <c r="J170" i="1" s="1"/>
  <c r="I169" i="1"/>
  <c r="F169" i="1"/>
  <c r="J169" i="1" s="1"/>
  <c r="I167" i="1"/>
  <c r="F167" i="1"/>
  <c r="J167" i="1" s="1"/>
  <c r="I166" i="1"/>
  <c r="F166" i="1"/>
  <c r="J166" i="1" s="1"/>
  <c r="I165" i="1"/>
  <c r="F165" i="1"/>
  <c r="J165" i="1" s="1"/>
  <c r="I164" i="1"/>
  <c r="F164" i="1"/>
  <c r="J164" i="1" s="1"/>
  <c r="I163" i="1"/>
  <c r="F163" i="1"/>
  <c r="J163" i="1" s="1"/>
  <c r="C163" i="1"/>
  <c r="I162" i="1"/>
  <c r="F162" i="1"/>
  <c r="J162" i="1" s="1"/>
  <c r="I161" i="1"/>
  <c r="F161" i="1"/>
  <c r="J161" i="1" s="1"/>
  <c r="I160" i="1"/>
  <c r="F160" i="1"/>
  <c r="J160" i="1" s="1"/>
  <c r="I159" i="1"/>
  <c r="F159" i="1"/>
  <c r="J159" i="1" s="1"/>
  <c r="I158" i="1"/>
  <c r="F158" i="1"/>
  <c r="J158" i="1" s="1"/>
  <c r="I157" i="1"/>
  <c r="F157" i="1"/>
  <c r="J157" i="1" s="1"/>
  <c r="I156" i="1"/>
  <c r="F156" i="1"/>
  <c r="J156" i="1" s="1"/>
  <c r="I155" i="1"/>
  <c r="F155" i="1"/>
  <c r="C155" i="1" s="1"/>
  <c r="I154" i="1"/>
  <c r="F154" i="1"/>
  <c r="K154" i="1" s="1"/>
  <c r="J154" i="1" s="1"/>
  <c r="I153" i="1"/>
  <c r="F153" i="1"/>
  <c r="J153" i="1" s="1"/>
  <c r="I152" i="1"/>
  <c r="F152" i="1"/>
  <c r="J152" i="1" s="1"/>
  <c r="I151" i="1"/>
  <c r="F151" i="1"/>
  <c r="J151" i="1" s="1"/>
  <c r="I150" i="1"/>
  <c r="F150" i="1"/>
  <c r="J150" i="1" s="1"/>
  <c r="I149" i="1"/>
  <c r="F149" i="1"/>
  <c r="K149" i="1" s="1"/>
  <c r="J149" i="1" s="1"/>
  <c r="I148" i="1"/>
  <c r="F148" i="1"/>
  <c r="J148" i="1" s="1"/>
  <c r="I147" i="1"/>
  <c r="F147" i="1"/>
  <c r="J147" i="1" s="1"/>
  <c r="I146" i="1"/>
  <c r="F146" i="1"/>
  <c r="J146" i="1" s="1"/>
  <c r="I143" i="1"/>
  <c r="F143" i="1"/>
  <c r="C143" i="1" s="1"/>
  <c r="I142" i="1"/>
  <c r="F142" i="1"/>
  <c r="C142" i="1" s="1"/>
  <c r="I141" i="1"/>
  <c r="F141" i="1"/>
  <c r="I139" i="1"/>
  <c r="F139" i="1"/>
  <c r="C139" i="1" s="1"/>
  <c r="I138" i="1"/>
  <c r="F138" i="1"/>
  <c r="C138" i="1" s="1"/>
  <c r="I137" i="1"/>
  <c r="F137" i="1"/>
  <c r="C137" i="1" s="1"/>
  <c r="I135" i="1"/>
  <c r="F135" i="1"/>
  <c r="C135" i="1" s="1"/>
  <c r="I134" i="1"/>
  <c r="F134" i="1"/>
  <c r="I132" i="1"/>
  <c r="F132" i="1"/>
  <c r="C132" i="1" s="1"/>
  <c r="I131" i="1"/>
  <c r="F131" i="1"/>
  <c r="C131" i="1" s="1"/>
  <c r="I130" i="1"/>
  <c r="F130" i="1"/>
  <c r="C130" i="1" s="1"/>
  <c r="I129" i="1"/>
  <c r="F129" i="1"/>
  <c r="C129" i="1" s="1"/>
  <c r="I128" i="1"/>
  <c r="F128" i="1"/>
  <c r="C128" i="1" s="1"/>
  <c r="I127" i="1"/>
  <c r="F127" i="1"/>
  <c r="C127" i="1" s="1"/>
  <c r="I126" i="1"/>
  <c r="F126" i="1"/>
  <c r="C126" i="1" s="1"/>
  <c r="I125" i="1"/>
  <c r="F125" i="1"/>
  <c r="C125" i="1" s="1"/>
  <c r="I124" i="1"/>
  <c r="F124" i="1"/>
  <c r="C124" i="1" s="1"/>
  <c r="I123" i="1"/>
  <c r="F123" i="1"/>
  <c r="C123" i="1" s="1"/>
  <c r="I122" i="1"/>
  <c r="F122" i="1"/>
  <c r="C122" i="1" s="1"/>
  <c r="I121" i="1"/>
  <c r="F121" i="1"/>
  <c r="C121" i="1" s="1"/>
  <c r="I120" i="1"/>
  <c r="F120" i="1"/>
  <c r="I118" i="1"/>
  <c r="F118" i="1"/>
  <c r="C118" i="1" s="1"/>
  <c r="I117" i="1"/>
  <c r="F117" i="1"/>
  <c r="C117" i="1" s="1"/>
  <c r="I115" i="1"/>
  <c r="F115" i="1"/>
  <c r="I114" i="1"/>
  <c r="F114" i="1"/>
  <c r="I113" i="1"/>
  <c r="F113" i="1"/>
  <c r="I111" i="1"/>
  <c r="F111" i="1"/>
  <c r="I109" i="1"/>
  <c r="F109" i="1"/>
  <c r="I108" i="1"/>
  <c r="F108" i="1"/>
  <c r="I106" i="1"/>
  <c r="F106" i="1"/>
  <c r="I105" i="1"/>
  <c r="F105" i="1"/>
  <c r="I104" i="1"/>
  <c r="F104" i="1"/>
  <c r="I103" i="1"/>
  <c r="F103" i="1"/>
  <c r="I102" i="1"/>
  <c r="F102" i="1"/>
  <c r="I100" i="1"/>
  <c r="F100" i="1"/>
  <c r="F99" i="1" s="1"/>
  <c r="I98" i="1"/>
  <c r="F98" i="1"/>
  <c r="I97" i="1"/>
  <c r="F97" i="1"/>
  <c r="I95" i="1"/>
  <c r="F95" i="1"/>
  <c r="I94" i="1"/>
  <c r="F94" i="1"/>
  <c r="I92" i="1"/>
  <c r="F92" i="1"/>
  <c r="I91" i="1"/>
  <c r="F91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3" i="1"/>
  <c r="F73" i="1"/>
  <c r="I72" i="1"/>
  <c r="F72" i="1"/>
  <c r="I71" i="1"/>
  <c r="F71" i="1"/>
  <c r="I70" i="1"/>
  <c r="F70" i="1"/>
  <c r="J70" i="1" s="1"/>
  <c r="I69" i="1"/>
  <c r="F69" i="1"/>
  <c r="I66" i="1"/>
  <c r="F66" i="1"/>
  <c r="I65" i="1"/>
  <c r="F65" i="1"/>
  <c r="I64" i="1"/>
  <c r="F64" i="1"/>
  <c r="K64" i="1" s="1"/>
  <c r="I63" i="1"/>
  <c r="F63" i="1"/>
  <c r="I62" i="1"/>
  <c r="F62" i="1"/>
  <c r="I61" i="1"/>
  <c r="F61" i="1"/>
  <c r="K61" i="1" s="1"/>
  <c r="I60" i="1"/>
  <c r="F60" i="1"/>
  <c r="I59" i="1"/>
  <c r="F59" i="1"/>
  <c r="I58" i="1"/>
  <c r="F58" i="1"/>
  <c r="K58" i="1" s="1"/>
  <c r="I57" i="1"/>
  <c r="F57" i="1"/>
  <c r="I56" i="1"/>
  <c r="F56" i="1"/>
  <c r="I55" i="1"/>
  <c r="F55" i="1"/>
  <c r="K55" i="1" s="1"/>
  <c r="I54" i="1"/>
  <c r="F54" i="1"/>
  <c r="I53" i="1"/>
  <c r="F53" i="1"/>
  <c r="I52" i="1"/>
  <c r="F52" i="1"/>
  <c r="K52" i="1" s="1"/>
  <c r="I51" i="1"/>
  <c r="F51" i="1"/>
  <c r="I50" i="1"/>
  <c r="F50" i="1"/>
  <c r="I49" i="1"/>
  <c r="F49" i="1"/>
  <c r="K49" i="1" s="1"/>
  <c r="I48" i="1"/>
  <c r="F48" i="1"/>
  <c r="I47" i="1"/>
  <c r="F47" i="1"/>
  <c r="I46" i="1"/>
  <c r="F46" i="1"/>
  <c r="K46" i="1" s="1"/>
  <c r="I45" i="1"/>
  <c r="F45" i="1"/>
  <c r="I44" i="1"/>
  <c r="F44" i="1"/>
  <c r="I43" i="1"/>
  <c r="F43" i="1"/>
  <c r="K43" i="1" s="1"/>
  <c r="I42" i="1"/>
  <c r="F42" i="1"/>
  <c r="I41" i="1"/>
  <c r="F41" i="1"/>
  <c r="I40" i="1"/>
  <c r="F40" i="1"/>
  <c r="K40" i="1" s="1"/>
  <c r="I39" i="1"/>
  <c r="F39" i="1"/>
  <c r="I38" i="1"/>
  <c r="F38" i="1"/>
  <c r="I37" i="1"/>
  <c r="F37" i="1"/>
  <c r="K37" i="1" s="1"/>
  <c r="I36" i="1"/>
  <c r="F36" i="1"/>
  <c r="I35" i="1"/>
  <c r="F35" i="1"/>
  <c r="I34" i="1"/>
  <c r="C34" i="1"/>
  <c r="F34" i="1" s="1"/>
  <c r="K34" i="1" s="1"/>
  <c r="I33" i="1"/>
  <c r="C33" i="1"/>
  <c r="F33" i="1" s="1"/>
  <c r="K33" i="1" s="1"/>
  <c r="I32" i="1"/>
  <c r="C32" i="1"/>
  <c r="F32" i="1" s="1"/>
  <c r="K32" i="1" s="1"/>
  <c r="I31" i="1"/>
  <c r="C31" i="1"/>
  <c r="F31" i="1" s="1"/>
  <c r="K31" i="1" s="1"/>
  <c r="I30" i="1"/>
  <c r="C30" i="1"/>
  <c r="F30" i="1" s="1"/>
  <c r="K30" i="1" s="1"/>
  <c r="I29" i="1"/>
  <c r="C29" i="1"/>
  <c r="F29" i="1" s="1"/>
  <c r="K29" i="1" s="1"/>
  <c r="I28" i="1"/>
  <c r="C28" i="1"/>
  <c r="F28" i="1" s="1"/>
  <c r="K28" i="1" s="1"/>
  <c r="I27" i="1"/>
  <c r="C27" i="1"/>
  <c r="F27" i="1" s="1"/>
  <c r="K27" i="1" s="1"/>
  <c r="I26" i="1"/>
  <c r="C26" i="1"/>
  <c r="F26" i="1" s="1"/>
  <c r="K26" i="1" s="1"/>
  <c r="I25" i="1"/>
  <c r="C25" i="1"/>
  <c r="F25" i="1" s="1"/>
  <c r="K25" i="1" s="1"/>
  <c r="I24" i="1"/>
  <c r="C24" i="1"/>
  <c r="F24" i="1" s="1"/>
  <c r="K24" i="1" s="1"/>
  <c r="I23" i="1"/>
  <c r="C23" i="1"/>
  <c r="F23" i="1" s="1"/>
  <c r="K23" i="1" s="1"/>
  <c r="I22" i="1"/>
  <c r="C22" i="1"/>
  <c r="F22" i="1" s="1"/>
  <c r="K22" i="1" s="1"/>
  <c r="I21" i="1"/>
  <c r="C21" i="1"/>
  <c r="F21" i="1" s="1"/>
  <c r="K21" i="1" s="1"/>
  <c r="I20" i="1"/>
  <c r="C20" i="1"/>
  <c r="F20" i="1" s="1"/>
  <c r="K20" i="1" s="1"/>
  <c r="I19" i="1"/>
  <c r="C19" i="1"/>
  <c r="F19" i="1" s="1"/>
  <c r="K19" i="1" s="1"/>
  <c r="I18" i="1"/>
  <c r="C18" i="1"/>
  <c r="F18" i="1" s="1"/>
  <c r="K18" i="1" s="1"/>
  <c r="I17" i="1"/>
  <c r="C17" i="1"/>
  <c r="F17" i="1" s="1"/>
  <c r="K17" i="1" s="1"/>
  <c r="I16" i="1"/>
  <c r="C16" i="1"/>
  <c r="F16" i="1" s="1"/>
  <c r="I15" i="1"/>
  <c r="C15" i="1"/>
  <c r="F15" i="1" s="1"/>
  <c r="K15" i="1" s="1"/>
  <c r="I14" i="1"/>
  <c r="C14" i="1"/>
  <c r="F14" i="1" s="1"/>
  <c r="I13" i="1"/>
  <c r="C13" i="1"/>
  <c r="F13" i="1" s="1"/>
  <c r="I12" i="1"/>
  <c r="C12" i="1"/>
  <c r="F12" i="1" s="1"/>
  <c r="I11" i="1"/>
  <c r="C11" i="1"/>
  <c r="F11" i="1" s="1"/>
  <c r="K11" i="1" s="1"/>
  <c r="I10" i="1"/>
  <c r="C10" i="1"/>
  <c r="F10" i="1" s="1"/>
  <c r="I9" i="1"/>
  <c r="C9" i="1"/>
  <c r="F9" i="1" s="1"/>
  <c r="I8" i="1"/>
  <c r="C8" i="1"/>
  <c r="F8" i="1" s="1"/>
  <c r="I7" i="1"/>
  <c r="C7" i="1"/>
  <c r="F7" i="1" s="1"/>
  <c r="I6" i="1"/>
  <c r="C6" i="1"/>
  <c r="F6" i="1" s="1"/>
  <c r="K6" i="1" s="1"/>
  <c r="C61" i="1" l="1"/>
  <c r="C151" i="1"/>
  <c r="C187" i="1"/>
  <c r="C202" i="1"/>
  <c r="C58" i="1"/>
  <c r="J212" i="1"/>
  <c r="C157" i="1"/>
  <c r="C175" i="1"/>
  <c r="C214" i="1"/>
  <c r="C37" i="1"/>
  <c r="C40" i="1"/>
  <c r="C49" i="1"/>
  <c r="C55" i="1"/>
  <c r="F133" i="1"/>
  <c r="C181" i="1"/>
  <c r="C205" i="1"/>
  <c r="C184" i="1"/>
  <c r="J209" i="1"/>
  <c r="C43" i="1"/>
  <c r="C160" i="1"/>
  <c r="C169" i="1"/>
  <c r="C199" i="1"/>
  <c r="C226" i="1"/>
  <c r="J8" i="1"/>
  <c r="K8" i="1" s="1"/>
  <c r="J7" i="1"/>
  <c r="K7" i="1" s="1"/>
  <c r="J10" i="1"/>
  <c r="K10" i="1" s="1"/>
  <c r="J12" i="1"/>
  <c r="K12" i="1" s="1"/>
  <c r="C36" i="1"/>
  <c r="K36" i="1"/>
  <c r="C41" i="1"/>
  <c r="K41" i="1"/>
  <c r="C54" i="1"/>
  <c r="K54" i="1"/>
  <c r="C59" i="1"/>
  <c r="K59" i="1"/>
  <c r="C39" i="1"/>
  <c r="K39" i="1"/>
  <c r="C44" i="1"/>
  <c r="K44" i="1"/>
  <c r="C52" i="1"/>
  <c r="C57" i="1"/>
  <c r="K57" i="1"/>
  <c r="C62" i="1"/>
  <c r="K62" i="1"/>
  <c r="F140" i="1"/>
  <c r="C154" i="1"/>
  <c r="C178" i="1"/>
  <c r="C196" i="1"/>
  <c r="C227" i="1"/>
  <c r="J16" i="1"/>
  <c r="K16" i="1" s="1"/>
  <c r="C47" i="1"/>
  <c r="K47" i="1"/>
  <c r="C60" i="1"/>
  <c r="K60" i="1"/>
  <c r="C42" i="1"/>
  <c r="K42" i="1"/>
  <c r="C65" i="1"/>
  <c r="K65" i="1"/>
  <c r="C63" i="1"/>
  <c r="K63" i="1"/>
  <c r="C50" i="1"/>
  <c r="K50" i="1"/>
  <c r="J14" i="1"/>
  <c r="K14" i="1" s="1"/>
  <c r="C35" i="1"/>
  <c r="K35" i="1"/>
  <c r="C53" i="1"/>
  <c r="K53" i="1"/>
  <c r="C66" i="1"/>
  <c r="K66" i="1"/>
  <c r="J13" i="1"/>
  <c r="K13" i="1" s="1"/>
  <c r="C45" i="1"/>
  <c r="K45" i="1"/>
  <c r="J9" i="1"/>
  <c r="K9" i="1" s="1"/>
  <c r="C48" i="1"/>
  <c r="K48" i="1"/>
  <c r="C38" i="1"/>
  <c r="K38" i="1"/>
  <c r="C46" i="1"/>
  <c r="C51" i="1"/>
  <c r="K51" i="1"/>
  <c r="C56" i="1"/>
  <c r="K56" i="1"/>
  <c r="C64" i="1"/>
  <c r="C148" i="1"/>
  <c r="C166" i="1"/>
  <c r="C172" i="1"/>
  <c r="C190" i="1"/>
  <c r="C208" i="1"/>
  <c r="C215" i="1"/>
  <c r="C100" i="1"/>
  <c r="J100" i="1"/>
  <c r="J99" i="1" s="1"/>
  <c r="C102" i="1"/>
  <c r="K102" i="1"/>
  <c r="C103" i="1"/>
  <c r="K103" i="1"/>
  <c r="J103" i="1" s="1"/>
  <c r="C104" i="1"/>
  <c r="K104" i="1"/>
  <c r="J104" i="1" s="1"/>
  <c r="C105" i="1"/>
  <c r="K105" i="1"/>
  <c r="J105" i="1" s="1"/>
  <c r="C106" i="1"/>
  <c r="J106" i="1"/>
  <c r="C108" i="1"/>
  <c r="K108" i="1"/>
  <c r="J108" i="1" s="1"/>
  <c r="C109" i="1"/>
  <c r="K109" i="1"/>
  <c r="J109" i="1" s="1"/>
  <c r="F110" i="1"/>
  <c r="K111" i="1"/>
  <c r="K110" i="1" s="1"/>
  <c r="F119" i="1"/>
  <c r="J120" i="1"/>
  <c r="J126" i="1"/>
  <c r="J132" i="1"/>
  <c r="J139" i="1"/>
  <c r="C146" i="1"/>
  <c r="C149" i="1"/>
  <c r="C152" i="1"/>
  <c r="C158" i="1"/>
  <c r="C161" i="1"/>
  <c r="C164" i="1"/>
  <c r="C167" i="1"/>
  <c r="C171" i="1"/>
  <c r="C174" i="1"/>
  <c r="C177" i="1"/>
  <c r="C180" i="1"/>
  <c r="C183" i="1"/>
  <c r="C186" i="1"/>
  <c r="C189" i="1"/>
  <c r="C192" i="1"/>
  <c r="C195" i="1"/>
  <c r="C198" i="1"/>
  <c r="C201" i="1"/>
  <c r="C204" i="1"/>
  <c r="C207" i="1"/>
  <c r="C210" i="1"/>
  <c r="C219" i="1"/>
  <c r="C220" i="1"/>
  <c r="F68" i="1"/>
  <c r="J69" i="1"/>
  <c r="C70" i="1"/>
  <c r="C71" i="1"/>
  <c r="J71" i="1"/>
  <c r="C72" i="1"/>
  <c r="J72" i="1"/>
  <c r="C73" i="1"/>
  <c r="J73" i="1"/>
  <c r="C75" i="1"/>
  <c r="J75" i="1"/>
  <c r="C76" i="1"/>
  <c r="J76" i="1"/>
  <c r="C77" i="1"/>
  <c r="J77" i="1"/>
  <c r="C78" i="1"/>
  <c r="J78" i="1"/>
  <c r="C79" i="1"/>
  <c r="J79" i="1"/>
  <c r="C80" i="1"/>
  <c r="J80" i="1"/>
  <c r="C81" i="1"/>
  <c r="K81" i="1"/>
  <c r="K74" i="1" s="1"/>
  <c r="C83" i="1"/>
  <c r="J83" i="1"/>
  <c r="C84" i="1"/>
  <c r="J84" i="1"/>
  <c r="C85" i="1"/>
  <c r="J85" i="1"/>
  <c r="C86" i="1"/>
  <c r="K86" i="1"/>
  <c r="J86" i="1" s="1"/>
  <c r="C87" i="1"/>
  <c r="J87" i="1"/>
  <c r="C88" i="1"/>
  <c r="J88" i="1"/>
  <c r="C89" i="1"/>
  <c r="K89" i="1"/>
  <c r="C91" i="1"/>
  <c r="K91" i="1"/>
  <c r="J91" i="1" s="1"/>
  <c r="C92" i="1"/>
  <c r="K92" i="1"/>
  <c r="J92" i="1" s="1"/>
  <c r="C94" i="1"/>
  <c r="K94" i="1"/>
  <c r="J94" i="1" s="1"/>
  <c r="C95" i="1"/>
  <c r="K95" i="1"/>
  <c r="J95" i="1" s="1"/>
  <c r="F96" i="1"/>
  <c r="K97" i="1"/>
  <c r="J97" i="1" s="1"/>
  <c r="C98" i="1"/>
  <c r="K98" i="1"/>
  <c r="J98" i="1" s="1"/>
  <c r="F112" i="1"/>
  <c r="K113" i="1"/>
  <c r="J113" i="1" s="1"/>
  <c r="C114" i="1"/>
  <c r="K114" i="1"/>
  <c r="J114" i="1" s="1"/>
  <c r="C115" i="1"/>
  <c r="K115" i="1"/>
  <c r="J115" i="1" s="1"/>
  <c r="J118" i="1"/>
  <c r="J123" i="1"/>
  <c r="J129" i="1"/>
  <c r="J134" i="1"/>
  <c r="J141" i="1"/>
  <c r="K155" i="1"/>
  <c r="K145" i="1" s="1"/>
  <c r="J177" i="1"/>
  <c r="J168" i="1" s="1"/>
  <c r="K168" i="1"/>
  <c r="J224" i="1"/>
  <c r="J117" i="1"/>
  <c r="J122" i="1"/>
  <c r="J125" i="1"/>
  <c r="J128" i="1"/>
  <c r="J131" i="1"/>
  <c r="J138" i="1"/>
  <c r="J143" i="1"/>
  <c r="F212" i="1"/>
  <c r="F217" i="1"/>
  <c r="J217" i="1" s="1"/>
  <c r="F222" i="1"/>
  <c r="F224" i="1"/>
  <c r="C69" i="1"/>
  <c r="F93" i="1"/>
  <c r="C97" i="1"/>
  <c r="F107" i="1"/>
  <c r="C111" i="1"/>
  <c r="C113" i="1"/>
  <c r="F116" i="1"/>
  <c r="C120" i="1"/>
  <c r="C134" i="1"/>
  <c r="C141" i="1"/>
  <c r="F5" i="1"/>
  <c r="J121" i="1"/>
  <c r="J124" i="1"/>
  <c r="J127" i="1"/>
  <c r="J130" i="1"/>
  <c r="J135" i="1"/>
  <c r="J137" i="1"/>
  <c r="J142" i="1"/>
  <c r="F145" i="1"/>
  <c r="C147" i="1"/>
  <c r="C150" i="1"/>
  <c r="C153" i="1"/>
  <c r="C156" i="1"/>
  <c r="C159" i="1"/>
  <c r="C162" i="1"/>
  <c r="C165" i="1"/>
  <c r="F168" i="1"/>
  <c r="C170" i="1"/>
  <c r="C173" i="1"/>
  <c r="C176" i="1"/>
  <c r="C179" i="1"/>
  <c r="C182" i="1"/>
  <c r="C185" i="1"/>
  <c r="C188" i="1"/>
  <c r="C191" i="1"/>
  <c r="C194" i="1"/>
  <c r="C197" i="1"/>
  <c r="C200" i="1"/>
  <c r="C203" i="1"/>
  <c r="C206" i="1"/>
  <c r="F209" i="1"/>
  <c r="C211" i="1"/>
  <c r="C213" i="1"/>
  <c r="C216" i="1"/>
  <c r="C218" i="1"/>
  <c r="C221" i="1"/>
  <c r="C223" i="1"/>
  <c r="C225" i="1"/>
  <c r="C228" i="1"/>
  <c r="F74" i="1"/>
  <c r="F82" i="1"/>
  <c r="F90" i="1"/>
  <c r="F101" i="1"/>
  <c r="F136" i="1"/>
  <c r="J110" i="1" l="1"/>
  <c r="J111" i="1"/>
  <c r="J116" i="1"/>
  <c r="J68" i="1"/>
  <c r="K5" i="1"/>
  <c r="J140" i="1"/>
  <c r="K93" i="1"/>
  <c r="J93" i="1" s="1"/>
  <c r="J81" i="1"/>
  <c r="J74" i="1" s="1"/>
  <c r="J133" i="1"/>
  <c r="J155" i="1"/>
  <c r="J145" i="1" s="1"/>
  <c r="J144" i="1" s="1"/>
  <c r="K96" i="1"/>
  <c r="J96" i="1" s="1"/>
  <c r="K82" i="1"/>
  <c r="J89" i="1"/>
  <c r="J82" i="1" s="1"/>
  <c r="K107" i="1"/>
  <c r="J107" i="1" s="1"/>
  <c r="K144" i="1"/>
  <c r="F67" i="1"/>
  <c r="J119" i="1"/>
  <c r="K112" i="1"/>
  <c r="J112" i="1" s="1"/>
  <c r="K90" i="1"/>
  <c r="J90" i="1" s="1"/>
  <c r="F144" i="1"/>
  <c r="J5" i="1"/>
  <c r="J102" i="1"/>
  <c r="J101" i="1" s="1"/>
  <c r="K101" i="1"/>
  <c r="J136" i="1"/>
  <c r="F229" i="1" l="1"/>
  <c r="M5" i="1"/>
  <c r="K67" i="1"/>
  <c r="K229" i="1" s="1"/>
  <c r="J67" i="1"/>
  <c r="J229" i="1" s="1"/>
</calcChain>
</file>

<file path=xl/comments1.xml><?xml version="1.0" encoding="utf-8"?>
<comments xmlns="http://schemas.openxmlformats.org/spreadsheetml/2006/main">
  <authors>
    <author>User</author>
  </authors>
  <commentList>
    <comment ref="D29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0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1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2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20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2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23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<sst xmlns="http://schemas.openxmlformats.org/spreadsheetml/2006/main" count="977" uniqueCount="316">
  <si>
    <t>Найменування юридичної особи (або позначення фізичної особи)</t>
  </si>
  <si>
    <t>Благодійні пожертви, що були отримані закладом охорони здоров’я від фізичних та юридичних осіб</t>
  </si>
  <si>
    <t>Перелік товарів і послуг в натуральній формі</t>
  </si>
  <si>
    <t>Кількість</t>
  </si>
  <si>
    <t>Всього отримано благодійних пожертв, тис. грн.</t>
  </si>
  <si>
    <t>Використання закладом охорони здоров’я благодійних пожертв, отриманих у грошовій та натуральній (товари і послуги) формі</t>
  </si>
  <si>
    <t>Залишок невикористаних грошових коштів, товарів та послуг на кінець звітного періоду, тис. грн</t>
  </si>
  <si>
    <t>В грошовій формі,                               тис. грн.</t>
  </si>
  <si>
    <t>В натуральній формі (товари і послуги),                      тис. грн.</t>
  </si>
  <si>
    <t>Напрямки використання у грошовій формі                 (стаття витрат)</t>
  </si>
  <si>
    <t>Сума,                          тис. грн</t>
  </si>
  <si>
    <t>Перелік використаних товарів та послуг у натуральній формі</t>
  </si>
  <si>
    <t>Сума,                                тис. грн</t>
  </si>
  <si>
    <t xml:space="preserve">І квартал 2023 року </t>
  </si>
  <si>
    <t xml:space="preserve">Благодійний Фонд "Меценат"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</si>
  <si>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КЕКВ 2210 Предмети, матеріали, обладнання та інвентар</t>
  </si>
  <si>
    <t>Дизельне пальне (в талонах)</t>
  </si>
  <si>
    <t>Будівельні матеріали</t>
  </si>
  <si>
    <t>Комплекти постільної білизни</t>
  </si>
  <si>
    <t>Рушник 50х90 (бавовна)</t>
  </si>
  <si>
    <t>Рушник 40х70 (бавовна)</t>
  </si>
  <si>
    <t>Паливно-мастильні матеріали</t>
  </si>
  <si>
    <t>Акумуляторна батарея Ritar 12B</t>
  </si>
  <si>
    <t xml:space="preserve">Джерело безперебійного живлення </t>
  </si>
  <si>
    <t>Автошини Hankok Kinergy Eko 2 185/62 R14 86H</t>
  </si>
  <si>
    <t>Водонагрівач</t>
  </si>
  <si>
    <t>Бензин А-95</t>
  </si>
  <si>
    <t>MAGNAPLAST Коліно-110/87 Htplus</t>
  </si>
  <si>
    <t>AURA Грунт укріплюючий антіплесневий Unigrund BioBlock 5л</t>
  </si>
  <si>
    <t>AURA Грунтовка водорозчинна Koncentrat GammaGrund  3л 1:5</t>
  </si>
  <si>
    <t>CAPAROL Антисептик Capatox 1л</t>
  </si>
  <si>
    <t>CERSANIT Компакт PRESIDENT P011 3/6л ниж.підв. з сидінням поліп</t>
  </si>
  <si>
    <t>ESKARO AURA Malare фарба в/дисперс ,5 л.</t>
  </si>
  <si>
    <t>KNAUF Гіпсокартон GKP 9.5 мм/1200/2500</t>
  </si>
  <si>
    <t>KNAUF Гіпсокартон вологост. GKPI 12.5 мм/1200/2500</t>
  </si>
  <si>
    <t>KNAUF Клей гіпсовий PERLFIX 25кг</t>
  </si>
  <si>
    <t>KNAUF Шпаклівка HP-ФІНІШ (satengips) 25кг</t>
  </si>
  <si>
    <t>KNAUF Штукатурка HP-СТАРТ (izogips) 30кг</t>
  </si>
  <si>
    <t>VOLTEO Шуруп д/лгк п/гл PH дер 3.5х35 100шт/уп</t>
  </si>
  <si>
    <t>VOLTEO Шуруп для гіпсокартону з потайною гол PH дер 
3.5х30 100шт/уп</t>
  </si>
  <si>
    <t xml:space="preserve">VOLTEO Шуруп для гіпсокартону з потайною гол PH дер 
3.5х40 100шт/уп </t>
  </si>
  <si>
    <t xml:space="preserve">БУДМЕН Профіль CD-60 3м (0.5мм) </t>
  </si>
  <si>
    <t>БУДМЕН Профіль UD-27 3м (0.5мм)</t>
  </si>
  <si>
    <t>Цемент ПЦ ІІ/А-В-500Р-Н 25 кг Івано-Франківськ</t>
  </si>
  <si>
    <t>Коліно VENTS 323 d150</t>
  </si>
  <si>
    <t>Канал VENTS 3010 d150/1000</t>
  </si>
  <si>
    <t>Трійник VENTS 333  d150</t>
  </si>
  <si>
    <t>З"еднання  VENTS 3133 d150 для ГК</t>
  </si>
  <si>
    <t>Гратка DOMOVENT дв 150БвС</t>
  </si>
  <si>
    <t>Тримач VENTS 36 d150</t>
  </si>
  <si>
    <t>Дюбель розпірниц з універсальним шурупом6*30 (уп.100 шт)</t>
  </si>
  <si>
    <t>Саморіз для гіпсокартону по днреву фосфатовий 3,9*65 (уп.100 шт)</t>
  </si>
  <si>
    <t>Саморіз для гіпсокартону по днреву фосфатовий 4,2*76 (уп.100 шт)</t>
  </si>
  <si>
    <t>Дюбель для швидкого монтажу без комірця з шурупом поліетеленЕСМ 6*60 (уп.100 шт)</t>
  </si>
  <si>
    <t>Колесо чорн.гума/ст. Пов/площ/галм d-125мм , роз. Підш. (40513350)</t>
  </si>
  <si>
    <t>Колесо чорн.гума/ст. Непов. d-125мм , роз. Підш. (40513355)</t>
  </si>
  <si>
    <t>Коробка монтажна E Next e db pro d80.50</t>
  </si>
  <si>
    <t>Щиток пластиковий Lux-Rau 731-2000-006 ABS, IP2, 6мод. Зовн.устан.</t>
  </si>
  <si>
    <t>Продовжувач Barsan BR-1554-5 гн, 5 м з заземленням білий.</t>
  </si>
  <si>
    <t>Провід Одесакабель ШВВПн 2*0,75, м</t>
  </si>
  <si>
    <t>Кабель канал EXPERT 10*20 ММ, 2,00м, білий</t>
  </si>
  <si>
    <t>Провід 33 КМ ПВС-3*2,5 м.</t>
  </si>
  <si>
    <t>Папка швидкозшивач А4, чорна</t>
  </si>
  <si>
    <t>Папка щвидкозшивач UP A-4 з перфораціею, жовта</t>
  </si>
  <si>
    <t>Світильник накладний VIA-195 LED 18 Вт ІР 55 4200К VictoriaLighting</t>
  </si>
  <si>
    <t>Продовжувач на катушці 4 гнізда ТМ Expert Power ПВС 2*1,0 40м, 10А, max 2,2 лВе, ІР20 термозахист</t>
  </si>
  <si>
    <t>Щітка для миття телескопічна Auto Assistancе AA1998?98-168 см.</t>
  </si>
  <si>
    <t>Труба гафрована E Next (750H)</t>
  </si>
  <si>
    <t>Дюбель-ялинка (круглий) 16мм уп-20шт.</t>
  </si>
  <si>
    <t>Розетка 2-на, з з/к зі шток, Schneider Electric Прима Elda сл, кістка</t>
  </si>
  <si>
    <t>Вимикач 1-кл. зовн. Монт ІР20chneider Electric Прима Elda, біл.</t>
  </si>
  <si>
    <t>Автоматичний вимикач модульний E/ Next e/mcb/ stand/ 60/2/ C25, 2p, 25A, C/,6 kA</t>
  </si>
  <si>
    <t xml:space="preserve">Автоматичний вимикач E/ Next 1р, В16А 4,5 кА </t>
  </si>
  <si>
    <t>КолодкаPanasonic-X-temdia 3гн, з зах. Шторками сіра</t>
  </si>
  <si>
    <t>Конструкція ПВХ №1- двері</t>
  </si>
  <si>
    <t>Конструкція ПВХ №2- двері</t>
  </si>
  <si>
    <t>КЕКВ 2220 Медикаменти та перев'язувальні матеріали</t>
  </si>
  <si>
    <t xml:space="preserve">Вироби медичного призначення </t>
  </si>
  <si>
    <t>Середовище культуральне Flushing Medium 5x60ml, паков</t>
  </si>
  <si>
    <t>Середовище культуральне ICSI Cumulase 5x0,5ml, паков</t>
  </si>
  <si>
    <t>Середовище культуральне UTM Transfer Medium, with phenol red 10 ml, паков</t>
  </si>
  <si>
    <t>Середовище культуральне ORIGIO Sequential Fert, 10 ml, паков</t>
  </si>
  <si>
    <t>Середовище культуральне SAGE 1-Step™ with Human Serum Albumin 10 ml, паков</t>
  </si>
  <si>
    <t>Середовище культуральне PVP 10% Ready-To-Use Solution 6x0.5 ml, паков</t>
  </si>
  <si>
    <t>Середовища культуральні Quinn`s Advantage Sperm Freezing Medium 6x12ml, паков</t>
  </si>
  <si>
    <t>STRIPPER® наконечник 1000µm, паков</t>
  </si>
  <si>
    <t>ORIGIO Sperm Wash 10 x 10ml, паков</t>
  </si>
  <si>
    <t>Середовища культуральні PureCeption 24-Determination By-Layer Kit 12 x 12 ml, паков</t>
  </si>
  <si>
    <t>205 Середовища для розморожування (14,4 мл), шт</t>
  </si>
  <si>
    <t>WP Пластикова чашка для вітрифікації (10 од/уп), паков</t>
  </si>
  <si>
    <t>SPD-30 Мікропіпетки для часткового розсічення зони пелюсіда, з кутом 30° (10 од/уп)</t>
  </si>
  <si>
    <t>SIC-50W-35 Інжекторні мікропіпетки для проведення ІКСІ ID:5,0 мм/35° (10 од/уп)</t>
  </si>
  <si>
    <t>K-JETS-7019 Вигнутий катетер для переносу ембріонів, трансферний катетер 2.8Fr-24cm та навігаційний катетер 6.6Fr-17.3cm, шт</t>
  </si>
  <si>
    <t>K-HPIP-1035 Холдінгові мікропіпетки для проведення ІКСІ вн.діаметр 17µm зовнішній діаметр 80µm та кутом 35 градусів, 10 од. в упаковці, паков</t>
  </si>
  <si>
    <t>OOPW-IC06 Oosafe 50 мм чашка, тонка стінка, необроблена поверхня, шт.</t>
  </si>
  <si>
    <t>CR Соломини для вітрифікації (заморожування) Cryotec (10 од/уп), паков</t>
  </si>
  <si>
    <r>
      <t>SIC-50W-35 Інжекторні мікропіпетки для проведення ІКСІ ID:5,0 мм/35</t>
    </r>
    <r>
      <rPr>
        <sz val="12"/>
        <color indexed="8"/>
        <rFont val="Calibri"/>
        <family val="2"/>
        <charset val="204"/>
      </rPr>
      <t>°</t>
    </r>
    <r>
      <rPr>
        <i/>
        <sz val="12"/>
        <color indexed="8"/>
        <rFont val="Times New Roman"/>
        <family val="1"/>
        <charset val="204"/>
      </rPr>
      <t xml:space="preserve"> (10 од/уп)</t>
    </r>
  </si>
  <si>
    <t>K-FPIP-1300-10BS-5 Піпетки для денудації 300 мікрон 5 туб по 10 піпеток (50од./уп.), паков</t>
  </si>
  <si>
    <t>K-OSN-1730-B-90 Однопросвітна голка для забору ооцитів 17g 30cm з ЕСНО типом, аспіраційна лінія 90см, шт.</t>
  </si>
  <si>
    <t>2230 Продукти харчування</t>
  </si>
  <si>
    <t>Батон нарізний молочний</t>
  </si>
  <si>
    <t>Хліб "Гусарик"</t>
  </si>
  <si>
    <t xml:space="preserve">2240 Оплата послуг (крім комунальних) </t>
  </si>
  <si>
    <t>Поточний ремонт автомобіля Opel COMBO 1,4</t>
  </si>
  <si>
    <t>Послуга з опломбування вузла обліку</t>
  </si>
  <si>
    <t>Послуга програмного забеспечення HELSI., 1 послуга за 01.23</t>
  </si>
  <si>
    <t>Послуги шиномонтажу</t>
  </si>
  <si>
    <t>Страховий платіж згідно Полісу обов'язковогострахування</t>
  </si>
  <si>
    <t>Технічне обслуговування та ремонт транспорту</t>
  </si>
  <si>
    <t>Інженерні послуги (екологічна експертиза)</t>
  </si>
  <si>
    <t xml:space="preserve">Послуга з ремонту блоку живлення інкубатора </t>
  </si>
  <si>
    <t>Послуги з обслуговування мережі інтернет</t>
  </si>
  <si>
    <t>Послуги з ремонту та технічного обслуговування медицинського та хірургічного обладнання</t>
  </si>
  <si>
    <t>Поточний ремонт автомобіля  OPEL Combo</t>
  </si>
  <si>
    <t xml:space="preserve">Оплата послуг  з надання доступу до онлайн сервісів Helsi  за лютий </t>
  </si>
  <si>
    <t>2282 Окремі заходи по реалізації державних (регіональних) програм</t>
  </si>
  <si>
    <t>Послуга з навчання з охорони праці</t>
  </si>
  <si>
    <t>3110 Придбання обладнання і предметів довгострокового користування</t>
  </si>
  <si>
    <t>Модернізація силової проводки всередині будівлі</t>
  </si>
  <si>
    <t>Дисектор біполярний</t>
  </si>
  <si>
    <t>Ноутбук ASUS 515</t>
  </si>
  <si>
    <t xml:space="preserve">                                                Державна установа "Центр громадського здоров'я Міністерства охорони здоров'я України"</t>
  </si>
  <si>
    <t>2210 Предмети, матеріали, обладнання та інвентар</t>
  </si>
  <si>
    <t>Монітор пацієнта М-50</t>
  </si>
  <si>
    <t>Монітор пацієнта М-40</t>
  </si>
  <si>
    <t>Інфузійний об'ємний насос</t>
  </si>
  <si>
    <t>Окскарбазепін 600 мг, табл.</t>
  </si>
  <si>
    <t>Ібупрофен 20 мг/мл 200мл, флакон</t>
  </si>
  <si>
    <t>Дексаметазон 1мл, амп.</t>
  </si>
  <si>
    <t>Витратні матеріали/ Pipette micro tips 2x10x96 100-1000 мкл, п/а (кінцевик блакитний 100-1000 мкл), короб</t>
  </si>
  <si>
    <t>Набір медикаментів та витратних матеріалів / RHKIT8 EMERGENCY REPRODUCTIVE HEALTH (1 комплект – 4 коробки) MPL00001298, п/а, компл</t>
  </si>
  <si>
    <t>Набір медикаментів та витратних матеріалів / RHKIT4 EMERGENCY REPRODUCTIVE HEALTH (1 комплект – 1 коробка) MPL00001264, п/а, компл</t>
  </si>
  <si>
    <t>Набір медикаментів та витратних матеріалів / RHKIT5 EMERGENCY REPRODUCTIVE HEALTH (1 комплект – 2 коробки) MPL00001682, п/а, компл</t>
  </si>
  <si>
    <t>Набір медикаментів та витратних матеріалів / RHKIT6В EMERGENCY REPRODUCTIVE HEALTH (1 комплект – 6 коробок) MPL00001251, п/а, компл</t>
  </si>
  <si>
    <t>Полівітаміни з іншими мінералами, включаючи комбінації /15g gran., шт.</t>
  </si>
  <si>
    <t>Полівітаміни з іншими мінералами, включаючи комбінації /2g granulat, шт.</t>
  </si>
  <si>
    <t>Електроліти в комбінації з іншими препаратами / Волюлайт 6% 500 мл, флак.</t>
  </si>
  <si>
    <t>Вода для ін'єкцій 5мл, амп.</t>
  </si>
  <si>
    <t>Моксифлоксацин / Авелокс ® таблетки п/о 400мг, табл.</t>
  </si>
  <si>
    <t>Моксифлоксацин / Авелокс ® розчин для інфузій 250мл (400мг), флак.</t>
  </si>
  <si>
    <t>Термоковдра на поліетиленовій основі завширшки 160см, завдовжки 210см,для надання першої допомоги, шт.</t>
  </si>
  <si>
    <t>Витратні матеріали/ Канюлі G16 без ін'єкційного порту, шт.</t>
  </si>
  <si>
    <t>Рукавиці оглядові нестерильні, пар.</t>
  </si>
  <si>
    <t>Спірометр стимулюючий 4000мл, п/а, шт.</t>
  </si>
  <si>
    <t>Педіатричний пульсоксиметр датчик з наклейкою</t>
  </si>
  <si>
    <t>Датчик пульса з наклейкою для дорослих та дітей, шт.</t>
  </si>
  <si>
    <t>Датчик пульса з наклейкою для дорослих, шт.</t>
  </si>
  <si>
    <t>Серветки сухі, шт.</t>
  </si>
  <si>
    <t>Витратні матеріали / Подовжувач інфузійний / BD Alaris 200cm 1,5ml, шт.</t>
  </si>
  <si>
    <t>Витратні матеріали / Шапочка мед.одноразова, синього кольору, шт.</t>
  </si>
  <si>
    <t>Ривароксабан / Ксарелто табл.в/о 20мг, табл.</t>
  </si>
  <si>
    <t>Пропофол / Diprivan 1% 20мл, флак.</t>
  </si>
  <si>
    <t>Бупівакаїн / Маркаїн розчин д.ін 5мг/мл 20мл, амп.</t>
  </si>
  <si>
    <t>Шприци з голками (різного обсягу) / Шприци 5мл, шт.</t>
  </si>
  <si>
    <t>Крапельниці та катетери / Закрита катетерна система 20GA  1,25IN, 1,1x32mm, шт.</t>
  </si>
  <si>
    <t>Катетери для периферичних вен (різних розмірів) / Внутрішньовенний катетер з захисною плівкою 1,8х45мм 16G, шт.</t>
  </si>
  <si>
    <t>Підгузки дорослі / Підгузки для дорослих, розмір XL, шт.</t>
  </si>
  <si>
    <t>Підгузки дорослі / Підгузки для дорослих, розмір L, шт.</t>
  </si>
  <si>
    <t>Залізо, вітамін В12 та фолієва кислота / Ferrous salt 60mg iron / Folic acid 0,4mg табл.</t>
  </si>
  <si>
    <t>Норетинодрел та естроген / LOESTRIN FE 1,5mg-0,03mg, табл.</t>
  </si>
  <si>
    <t>Окуляри захисні / Захисні окуляри з еластичною пов'язкою на голову, шт.</t>
  </si>
  <si>
    <t>Шприци з голками (різного обсягу) / Шприц з безпечною голкою 25G х 1", шт.</t>
  </si>
  <si>
    <t>Еноксапарин 60мг/0,6мл, амп.</t>
  </si>
  <si>
    <t>Еноксапарин 40мг/0,4мл, амп.</t>
  </si>
  <si>
    <t>Етинілестрадіол, табл.</t>
  </si>
  <si>
    <t>Набір для промивання шлунка, шт.</t>
  </si>
  <si>
    <t>Рукавички медичні оглядові нітрилові нестерильні (розмір L), шт.</t>
  </si>
  <si>
    <t>Набір для катетеризації сечового міхура, шт.</t>
  </si>
  <si>
    <t>Витратні матеріали / Urine bag 2 I,non-ret. Valves, шт.</t>
  </si>
  <si>
    <t>Витратні матеріали / Nasal oxygen cannula 2 prongs+tube, шт.</t>
  </si>
  <si>
    <t>Рукавички медичні оглядові нітрилові нестерильні (розмір S), шт.</t>
  </si>
  <si>
    <t>Рукавички медичні оглядові нітрилові нестерильні (розмір M), шт.</t>
  </si>
  <si>
    <t>Витратні матеріали / Bag plastic for health card 16x22cm, шт.</t>
  </si>
  <si>
    <t>Окуляри захисні, шт.</t>
  </si>
  <si>
    <t>Шприц 10ml</t>
  </si>
  <si>
    <t>Шприц 5ml</t>
  </si>
  <si>
    <t>Шприц 2ml</t>
  </si>
  <si>
    <t>Шприци з голками (різного обсягу) / Шприц одноразовий 3 мл, шт.</t>
  </si>
  <si>
    <t>Шприци з голками (різного обсягу) / Шприц одноразовий 5 мл, шт.</t>
  </si>
  <si>
    <t xml:space="preserve">Медичні маски / Маска медична захисна, шт. </t>
  </si>
  <si>
    <t>Бупівакаїн / Bucain 0,25% 2,5mg/ml 125mg/50ml флакон 50мл, флак.</t>
  </si>
  <si>
    <t>Бупівакаїн / Bucain 0,25% 2,5mg/ml 50mg/20ml флакон 20мл, флак.</t>
  </si>
  <si>
    <t>Бупівакаїн / Bucain 0,5% 5mg/ml 250mg/50ml флакон, флак.</t>
  </si>
  <si>
    <t>Бупівакаїн / Bucain 0,25% 2,5mg/ml 50mg/20ml бут., флак.</t>
  </si>
  <si>
    <t>Вітаміни / Мінісан 5 мкг 200МЕ (віт.Д3), шт.</t>
  </si>
  <si>
    <t>Ліжко лікарняне Stryker 7600-000-900 Emergency Relief bed</t>
  </si>
  <si>
    <t>Матрац</t>
  </si>
  <si>
    <t>Модуль для монітора пацієнта</t>
  </si>
  <si>
    <t>Апарат моніторінгу кардіотокографії</t>
  </si>
  <si>
    <t>Апарат штучної вентиляції легенів Venslstor VG70 E TIP 608/n/a</t>
  </si>
  <si>
    <t>Обладнання /Апарат моніторингу кардіографії /Candiolocodraphymonitiring device n/a</t>
  </si>
  <si>
    <t>Благодійна організація "Благодійний фонд Фортечний"</t>
  </si>
  <si>
    <t>Сонячний світильник ScheiderElectric mobiya Lite AEP LL01-5100</t>
  </si>
  <si>
    <t xml:space="preserve"> Обігрівач конвекторний BY 1208</t>
  </si>
  <si>
    <t>Нагрівач мат Cable lhpe 420 W A 691673</t>
  </si>
  <si>
    <t>Нагрівач мат Cable lhpe 520 W A 691674</t>
  </si>
  <si>
    <t xml:space="preserve"> Продовжувач на катушці Legrand H07RNF 3g2/5mm)(25m)50758</t>
  </si>
  <si>
    <t>Представництво "Проджект хоуп-зе піпл-ту-піпл хелс фаундейшн, інк" в Україні</t>
  </si>
  <si>
    <t>Бетонна плита під генератор з монтажем</t>
  </si>
  <si>
    <t>Комплект грілка - переноска для немовлят / Embrace Nest Infant Warmer Starter</t>
  </si>
  <si>
    <t>Переноска  /Baby Wrap Embrace</t>
  </si>
  <si>
    <t>Тепловий елемент / Warm Pack Embrace</t>
  </si>
  <si>
    <t>ВСЬОГО за І квартал 2023 року</t>
  </si>
  <si>
    <t xml:space="preserve">Голова комісії </t>
  </si>
  <si>
    <t xml:space="preserve">Медичний директор </t>
  </si>
  <si>
    <t xml:space="preserve">_____________________ </t>
  </si>
  <si>
    <t>Ганжа Н.Г.</t>
  </si>
  <si>
    <t>Чоени комісії</t>
  </si>
  <si>
    <t xml:space="preserve">Головна медична сестра </t>
  </si>
  <si>
    <t>_____________________</t>
  </si>
  <si>
    <t>Іваштенко В.В.</t>
  </si>
  <si>
    <t xml:space="preserve">Головний бухгалтер </t>
  </si>
  <si>
    <t>Потапенко Л.В.</t>
  </si>
  <si>
    <t xml:space="preserve">Фармацефт </t>
  </si>
  <si>
    <t>Кісельова І.А.</t>
  </si>
  <si>
    <t xml:space="preserve">Благодійний Фонд "Меценат"    </t>
  </si>
  <si>
    <t xml:space="preserve">Благодійний Фонд "Меценат"  </t>
  </si>
  <si>
    <t>Державна установа "Центр громадського здоров'я Міністерства охорони здоров'я України"</t>
  </si>
  <si>
    <t xml:space="preserve">       ІНФОРМАЦІЯ   ПРО НАДХОДЖЕННЯ І ВИКОРИСТАННЯ БЛАГОДІЙНИХ ПОЖЕРТВ ВІД ФІЗИЧНИХ ТА ЮРИДИЧНИХ ОСІБ3
ДЗ "Український медичний центр акушерства,гінекології та репродуктології МОЗ України"  за І квартал 2023 року.</t>
  </si>
  <si>
    <t xml:space="preserve">       ІНФОРМАЦІЯ   ПРО НАДХОДЖЕННЯ І ВИКОРИСТАННЯ БЛАГОДІЙНИХ ПОЖЕРТВ ВІД ФІЗИЧНИХ ТА ЮРИДИЧНИХ ОСІБ3
ДЗ "Український медичний центр акушерства,гінекології та репродуктології МОЗ України"  за 2 квартал 2023 року.</t>
  </si>
  <si>
    <t>Машина пральна "SAMSUNG"</t>
  </si>
  <si>
    <t>Будівелльні матеріали</t>
  </si>
  <si>
    <t xml:space="preserve">2 квартал 2023 року </t>
  </si>
  <si>
    <t>Дизельное паливо</t>
  </si>
  <si>
    <t xml:space="preserve">Подушки, ковдра, простирадло, наволочки </t>
  </si>
  <si>
    <t>Макет догожного знаку</t>
  </si>
  <si>
    <t>Холодильник GRUNHELM GRW-138DD</t>
  </si>
  <si>
    <t>Канцелярське приладдя</t>
  </si>
  <si>
    <t>Тример садовий Gartner BCE-1940</t>
  </si>
  <si>
    <t>Халат медичний чоловічий</t>
  </si>
  <si>
    <t>ЧВ-Пилосмок б/м SAMSUNG VC07M31A1HP/UK</t>
  </si>
  <si>
    <t>Будівелльні матеріали (фарба)</t>
  </si>
  <si>
    <t>Бензин А-95 (в толонах)</t>
  </si>
  <si>
    <t xml:space="preserve">       ІНФОРМАЦІЯ   ПРО НАДХОДЖЕННЯ І ВИКОРИСТАННЯ БЛАГОДІЙНИХ ПОЖЕРТВ ВІД ФІЗИЧНИХ ТА ЮРИДИЧНИХ ОСІБ3
ДЗ "Український медичний центр акушерства,гінекології та репродуктології МОЗ України"  за 3 квартал 2023 року.</t>
  </si>
  <si>
    <t xml:space="preserve">3 квартал 2023 року </t>
  </si>
  <si>
    <t>Хвіртка Н-ліва цинк/полімер-4мм/4мм1780*1000мм RAL6005</t>
  </si>
  <si>
    <t>Дриль ударний BLACK-DECKER BEH550,550Вт матал патрон 13</t>
  </si>
  <si>
    <t>Комплект сверл</t>
  </si>
  <si>
    <t>Змішувач для умивальника VODOLEY 1/2 чрестики хром М844-1</t>
  </si>
  <si>
    <t xml:space="preserve">Системи огородження ТУ У 25.9-00236010-016:2012 Секція оригінал Н 1.73 L2.5 яч. 200х50х4.0 Zn+ППл RAL6005 </t>
  </si>
  <si>
    <t xml:space="preserve">Системи огородження ТУ У 25.9-00236010-016:2012 Стовп оригінал/стандарт Н2.2 36*56*1,5 Zn+ППл RAL6005 </t>
  </si>
  <si>
    <t xml:space="preserve">Системи огородження ТУ У 25.9-00236010-016:2012 Комплект кріплення оригінал/стандарт Н2.2 38*58 Zn+ППл RAL6005 </t>
  </si>
  <si>
    <t>Урна стационарная2-х опорная малая оц.</t>
  </si>
  <si>
    <t>Дизельне паливо</t>
  </si>
  <si>
    <t>Середовище культуральне ORIGIO SpermWash 5x60 ml</t>
  </si>
  <si>
    <t>Середовище культуральне UTM Transfer Medium 10 ml</t>
  </si>
  <si>
    <t>Середовище культуральне SAGE 1-Step™ with Human Serum Albumin 10 ml</t>
  </si>
  <si>
    <t>205 Середовища для розморожування (середовища 14,4 мл), шт</t>
  </si>
  <si>
    <t>Середовіще культуральне ORIGIO Sperm Wash 5*60ml, паков</t>
  </si>
  <si>
    <t>K-НПІП-1035 Холдінгові мікропіпетки для проведення ІКСІ вн. Діаметр 17um зовнішний діаметр 80um та кутом 35 градусів 10 одиниць в упаковці</t>
  </si>
  <si>
    <t>VP Пластикова чашка для вітрифікації (10 од/уп), паков</t>
  </si>
  <si>
    <t>OOPW-FW03 Oosafe 4 лукова чашка, оброблена поверхня,4шт/уп.120шт/ящ</t>
  </si>
  <si>
    <t>OOPW-ОТ10  Oosafe пробирка для заборуооцитів14мл.10шт/уп. 500шт/ящ</t>
  </si>
  <si>
    <t>Послуга з навчання у сфері здійснення публічних закупівель</t>
  </si>
  <si>
    <t>Видаткова накладна</t>
  </si>
  <si>
    <t>LUXEL панель врізна ультратонка LED 600*600мм 220-240V IP20</t>
  </si>
  <si>
    <t>Цемент ТЦ ІІА-В-500Р-Н 25кг</t>
  </si>
  <si>
    <t>Послуга з шиномонтажу</t>
  </si>
  <si>
    <t>Доступ в режимі он-лайн до електроних баз наукової ынформації, інфор. ресурс Довідник головної медичної сестри</t>
  </si>
  <si>
    <t>K-JETS-7019-ЕТ Вигнутий катетер для переносу ембріонів з ЕСНО наконечніком, трансферний катетер 2.8Fr-24cm та навігаційний катетер 6.6Fr-17.3cm, шт</t>
  </si>
  <si>
    <t>K-НРІР-1035 Холдінгові мікропіпетки для проведення ІКСІ вн. діаметр 17um зовнішний діаметр 80um та кутом 35 градусів 10 одиниць в упаковці</t>
  </si>
  <si>
    <t xml:space="preserve">205 Середовища для розморожування (середовища 14,4мл) </t>
  </si>
  <si>
    <t>WP Пластикова чашка для вітрифікації (10 од/уп)</t>
  </si>
  <si>
    <t>Кисневий концентратор 5-10л/хв Oxyen concentrator JAY-5BW 5-liter, 230V, 50HZ, EU plug, n/f</t>
  </si>
  <si>
    <t>Прістрій для обігріву новонароджених/ Baby Heater, n/a</t>
  </si>
  <si>
    <t>Ліжка лікарняні/Hospital beds and mattresses for newdoms, n/a</t>
  </si>
  <si>
    <t>-</t>
  </si>
  <si>
    <t>Комбінації електролітів / Deitajonin 500ml №10 Exp.date 03.2026  500ml</t>
  </si>
  <si>
    <t xml:space="preserve">Рукавички оглядові нестерильні, різних розмірів/Gloves, dishjisable, non-sterile, powder-free, розмір М №100 в упаковці Exp.date 31.12.2025 n/a </t>
  </si>
  <si>
    <t xml:space="preserve">Рукавички оглядові нестерильні, різних розмірів/Gloves, dishjisable, non-sterile, powder-free, розмір L №200 в упаковці Exp.date 31.03.2024 n/a </t>
  </si>
  <si>
    <t xml:space="preserve">Натрій хлорід Sobium Ghloride IBE 9mg/ml solvent for parenteral use 5ml №10 в упаковці .Exp.date 31.03.2025 9mg/ml </t>
  </si>
  <si>
    <t xml:space="preserve">Глюкоза/Glucose B/Braun (monohydrate) 50mg/ml (5%) infusion solution 500ml №10 в упаковці.Exp.date 30.09.2024 5% </t>
  </si>
  <si>
    <t>Воріконазол/Voriconazolo Mylan 200mg №28 в упаковці Exp.date 08.2025 5%  n/a</t>
  </si>
  <si>
    <t>Медичні маски/Procedure Mask №500 в коробці. Exp.date 07.2025 5%  n/a</t>
  </si>
  <si>
    <t>Автогума Bridgestone Blizzak Revo GZ 185/60R15 845</t>
  </si>
  <si>
    <t>Багаторазова манжета для визначення артеріальноготиску для дорослих Hillrom FlexiPort 11L шт</t>
  </si>
  <si>
    <t>Багаторазова манжета Zool, м'яка для немовлят , 2 трубки 9-13см, з'єднувач із замком, коробка 20шт</t>
  </si>
  <si>
    <t>Сумка для перене сення дефібрілятора  Zool шт</t>
  </si>
  <si>
    <t>Дефібрілятор Zool шт</t>
  </si>
  <si>
    <t>Термометр медичний інфракрасний лобний, шт</t>
  </si>
  <si>
    <t>Антисептик DES 62 флакон</t>
  </si>
  <si>
    <t>Рукавиці оглядові нестерильні, шт</t>
  </si>
  <si>
    <t>Рукавиці оглядові нестерильні, шт.</t>
  </si>
  <si>
    <t>Оксаліплатин 100мг 20мл флак.</t>
  </si>
  <si>
    <t>Флукодифлюкан 200мг таб</t>
  </si>
  <si>
    <t>Моксифлоксацин400мг/250мл флак.</t>
  </si>
  <si>
    <t>MASTER TOOL замазка літол - 24 100г</t>
  </si>
  <si>
    <t>MASTER TOOL Ліска для тримера3,00млх15м "кручений квадрат"</t>
  </si>
  <si>
    <t>Зебра Емаль ПФ-115 "Народний МАЙСТЕР" 2,8кг 538 зелений мох</t>
  </si>
  <si>
    <t>Зебра Емаль ПФ-115 "Народний МАЙСТЕР" 0,9кг 575 червона калина</t>
  </si>
  <si>
    <t>31BEMI 203 оповіщувач звуковий</t>
  </si>
  <si>
    <t>ОС 12У/5А (МРМ-АО12У5А блок живлення</t>
  </si>
  <si>
    <t>CЕRЕSIT клей для плитки СМ177 25кг</t>
  </si>
  <si>
    <t>Провод ШВВП  12*0,75 кабель живлення м.</t>
  </si>
  <si>
    <t>Зажим для провода "универсал-2"</t>
  </si>
  <si>
    <t>STRIPPER® наконечник 1000µm, (20шт/уп) паков</t>
  </si>
  <si>
    <t>Послуги з обслуговування мережі інтернет за 08.2023 1 послуга</t>
  </si>
  <si>
    <t>Послуга вогнегасне оброблення дерев'яних конструкцій горищних приміщень 1 послуга</t>
  </si>
  <si>
    <t>Послуга програмного забеспечення HELSI., 1 послуга за 07.23</t>
  </si>
  <si>
    <t xml:space="preserve">Послуги архівні </t>
  </si>
  <si>
    <t>Монітор медичний для візуалізаціїзображення HD з ендоскопічної камери" NDS Radiance 19"</t>
  </si>
  <si>
    <t>Бюро Всесвітньої організації охорони здоров'яв Україні (ВООЗ)</t>
  </si>
  <si>
    <t>Натрію хлорід 0,9% для внутрішньовенних інфузій 1000мл у флак. №10, упак.</t>
  </si>
  <si>
    <t>Зовнішний електрод до дефібрилятора, шт</t>
  </si>
  <si>
    <t xml:space="preserve">Огородження </t>
  </si>
  <si>
    <t>Цемент</t>
  </si>
  <si>
    <t>Будівельні матеріали та прилади</t>
  </si>
  <si>
    <t>Середовище культуральне ORIGIO Seguential Fert™ 10ml паков</t>
  </si>
  <si>
    <t>OOTF-TF06 Oosafe 35 мм чашка, необроблена поверхність, шт</t>
  </si>
  <si>
    <t>Послуги з обслуговування мережі інтернет за 07.2023 1 послуга</t>
  </si>
  <si>
    <t>Послуга програмного забеспечення HELSI., 1 послуга за 06.23</t>
  </si>
  <si>
    <t>Воріконазол/Voriconazolo Mylan 200mg №28 в упаковці Exp.date 01.2024 200mg</t>
  </si>
  <si>
    <t xml:space="preserve">Середовище культуральне ORIGIO Seguential Fert™ 10ml </t>
  </si>
  <si>
    <t>ВСЬОГО за ІІІ квартал 2023 року</t>
  </si>
  <si>
    <t xml:space="preserve">Витратні матеріали/ Тампони для очищення шкіри Skin Cleansing Cwad 30x30mm №4000в коробці. Exp.date 08.2025 n/a </t>
  </si>
  <si>
    <r>
      <t>Середовище культуральне UTM</t>
    </r>
    <r>
      <rPr>
        <i/>
        <sz val="8"/>
        <rFont val="Times New Roman"/>
        <family val="1"/>
        <charset val="204"/>
      </rPr>
      <t xml:space="preserve">тм </t>
    </r>
    <r>
      <rPr>
        <i/>
        <sz val="12"/>
        <rFont val="Times New Roman"/>
        <family val="1"/>
        <charset val="204"/>
      </rPr>
      <t>Transfer Medium 10 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</si>
</sst>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_р_._-;\-* #,##0.00_р_._-;_-* &quot;-&quot;??_р_._-;_-@_-"/>
    <numFmt numFmtId="167" formatCode="#,##0.00\ _₽"/>
    <numFmt numFmtId="168" formatCode="_-* #,##0.0\ _₽_-;\-* #,##0.0\ _₽_-;_-* &quot;-&quot;??\ _₽_-;_-@_-"/>
    <numFmt numFmtId="169" formatCode="_-* #,##0.000\ _₽_-;\-* #,##0.000\ _₽_-;_-* &quot;-&quot;???\ _₽_-;_-@_-"/>
    <numFmt numFmtId="170" formatCode="_-* #,##0.00\ _₽_-;\-* #,##0.00\ _₽_-;_-* &quot;-&quot;???\ _₽_-;_-@_-"/>
    <numFmt numFmtId="171" formatCode="#,##0.00_ ;\-#,##0.00\ "/>
    <numFmt numFmtId="172" formatCode="_-* #,##0.0\ _₽_-;\-* #,##0.0\ _₽_-;_-* &quot;-&quot;?\ _₽_-;_-@_-"/>
    <numFmt numFmtId="173" formatCode="_-* #,##0.000\ _₽_-;\-* #,##0.000\ _₽_-;_-* &quot;-&quot;??\ _₽_-;_-@_-"/>
    <numFmt numFmtId="174" formatCode="_-* #,##0.000\ _₽_-;\-* #,##0.000\ _₽_-;_-* &quot;-&quot;\ _₽_-;_-@_-"/>
    <numFmt numFmtId="175" formatCode="_-* #,##0\ _₽_-;\-* #,##0\ _₽_-;_-* &quot;-&quot;??\ _₽_-;_-@_-"/>
    <numFmt numFmtId="176" formatCode="0.000"/>
    <numFmt numFmtId="177" formatCode="_-* #,##0.000_р_._-;\-* #,##0.000_р_._-;_-* &quot;-&quot;??_р_._-;_-@_-"/>
    <numFmt numFmtId="184" formatCode="#,##0.000_ ;\-#,##0.000\ "/>
    <numFmt numFmtId="186" formatCode="#,##0_ ;\-#,##0\ "/>
  </numFmts>
  <fonts count="45" x14ac:knownFonts="1">
    <font>
      <sz val="10"/>
      <name val="Times New Roman Cyr"/>
      <charset val="204"/>
    </font>
    <font>
      <sz val="10"/>
      <name val="Times New Roman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i/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 Cyr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theme="8"/>
      <name val="Times New Roman"/>
      <family val="1"/>
      <charset val="204"/>
    </font>
    <font>
      <i/>
      <sz val="12"/>
      <color theme="8"/>
      <name val="Times New Roman"/>
      <family val="1"/>
      <charset val="204"/>
    </font>
    <font>
      <i/>
      <sz val="12"/>
      <color theme="4"/>
      <name val="Times New Roman"/>
      <family val="1"/>
      <charset val="204"/>
    </font>
    <font>
      <sz val="11"/>
      <color theme="4"/>
      <name val="Times New Roman"/>
      <family val="1"/>
      <charset val="204"/>
    </font>
    <font>
      <i/>
      <sz val="11"/>
      <color theme="4"/>
      <name val="Times New Roman"/>
      <family val="1"/>
      <charset val="204"/>
    </font>
    <font>
      <b/>
      <sz val="12"/>
      <color theme="4"/>
      <name val="Times New Roman"/>
      <family val="1"/>
      <charset val="204"/>
    </font>
    <font>
      <i/>
      <sz val="11"/>
      <color theme="8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</cellStyleXfs>
  <cellXfs count="357">
    <xf numFmtId="0" fontId="0" fillId="0" borderId="0" xfId="0"/>
    <xf numFmtId="0" fontId="3" fillId="0" borderId="0" xfId="0" applyFont="1" applyFill="1"/>
    <xf numFmtId="0" fontId="7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0" fillId="0" borderId="0" xfId="0" applyFont="1" applyFill="1"/>
    <xf numFmtId="165" fontId="12" fillId="0" borderId="2" xfId="2" applyNumberFormat="1" applyFont="1" applyFill="1" applyBorder="1" applyAlignment="1">
      <alignment vertical="center" wrapText="1"/>
    </xf>
    <xf numFmtId="0" fontId="5" fillId="0" borderId="0" xfId="0" applyFont="1" applyFill="1"/>
    <xf numFmtId="165" fontId="6" fillId="0" borderId="17" xfId="0" applyNumberFormat="1" applyFont="1" applyFill="1" applyBorder="1" applyAlignment="1">
      <alignment vertical="center"/>
    </xf>
    <xf numFmtId="0" fontId="13" fillId="0" borderId="17" xfId="0" applyFont="1" applyFill="1" applyBorder="1" applyAlignment="1">
      <alignment vertical="center" wrapText="1"/>
    </xf>
    <xf numFmtId="165" fontId="5" fillId="0" borderId="17" xfId="0" applyNumberFormat="1" applyFont="1" applyFill="1" applyBorder="1" applyAlignment="1">
      <alignment vertical="center"/>
    </xf>
    <xf numFmtId="0" fontId="7" fillId="0" borderId="17" xfId="0" applyFont="1" applyFill="1" applyBorder="1" applyAlignment="1">
      <alignment vertical="center" wrapText="1"/>
    </xf>
    <xf numFmtId="168" fontId="6" fillId="0" borderId="17" xfId="0" applyNumberFormat="1" applyFont="1" applyFill="1" applyBorder="1" applyAlignment="1">
      <alignment vertical="center"/>
    </xf>
    <xf numFmtId="169" fontId="6" fillId="0" borderId="17" xfId="0" applyNumberFormat="1" applyFont="1" applyFill="1" applyBorder="1" applyAlignment="1">
      <alignment vertical="center"/>
    </xf>
    <xf numFmtId="165" fontId="6" fillId="0" borderId="20" xfId="0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vertical="center" wrapText="1"/>
    </xf>
    <xf numFmtId="165" fontId="5" fillId="0" borderId="20" xfId="0" applyNumberFormat="1" applyFont="1" applyFill="1" applyBorder="1" applyAlignment="1">
      <alignment vertical="center"/>
    </xf>
    <xf numFmtId="165" fontId="6" fillId="0" borderId="2" xfId="0" applyNumberFormat="1" applyFont="1" applyFill="1" applyBorder="1" applyAlignment="1">
      <alignment vertical="center" wrapText="1"/>
    </xf>
    <xf numFmtId="0" fontId="15" fillId="0" borderId="17" xfId="0" applyFont="1" applyFill="1" applyBorder="1" applyAlignment="1">
      <alignment vertical="center" wrapText="1"/>
    </xf>
    <xf numFmtId="0" fontId="3" fillId="0" borderId="17" xfId="0" applyFont="1" applyFill="1" applyBorder="1"/>
    <xf numFmtId="0" fontId="3" fillId="0" borderId="0" xfId="0" applyFont="1" applyFill="1" applyBorder="1"/>
    <xf numFmtId="165" fontId="6" fillId="0" borderId="8" xfId="0" applyNumberFormat="1" applyFont="1" applyFill="1" applyBorder="1" applyAlignment="1">
      <alignment vertical="center"/>
    </xf>
    <xf numFmtId="0" fontId="20" fillId="0" borderId="8" xfId="4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165" fontId="6" fillId="0" borderId="2" xfId="0" applyNumberFormat="1" applyFont="1" applyFill="1" applyBorder="1" applyAlignment="1">
      <alignment vertical="center"/>
    </xf>
    <xf numFmtId="165" fontId="21" fillId="0" borderId="2" xfId="0" applyNumberFormat="1" applyFont="1" applyFill="1" applyBorder="1" applyAlignment="1">
      <alignment vertical="center" wrapText="1"/>
    </xf>
    <xf numFmtId="0" fontId="20" fillId="0" borderId="23" xfId="0" applyFont="1" applyFill="1" applyBorder="1" applyAlignment="1">
      <alignment vertical="center" wrapText="1"/>
    </xf>
    <xf numFmtId="165" fontId="12" fillId="0" borderId="20" xfId="4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65" fontId="23" fillId="0" borderId="17" xfId="0" applyNumberFormat="1" applyFont="1" applyFill="1" applyBorder="1" applyAlignment="1">
      <alignment vertical="center" wrapText="1"/>
    </xf>
    <xf numFmtId="0" fontId="15" fillId="0" borderId="20" xfId="0" applyFont="1" applyFill="1" applyBorder="1" applyAlignment="1">
      <alignment vertical="center" wrapText="1"/>
    </xf>
    <xf numFmtId="169" fontId="6" fillId="0" borderId="2" xfId="0" applyNumberFormat="1" applyFont="1" applyFill="1" applyBorder="1" applyAlignment="1">
      <alignment vertical="center"/>
    </xf>
    <xf numFmtId="0" fontId="17" fillId="0" borderId="17" xfId="0" applyFont="1" applyFill="1" applyBorder="1" applyAlignment="1">
      <alignment vertical="center" wrapText="1"/>
    </xf>
    <xf numFmtId="165" fontId="6" fillId="0" borderId="17" xfId="0" applyNumberFormat="1" applyFont="1" applyFill="1" applyBorder="1" applyAlignment="1">
      <alignment vertical="center" wrapText="1"/>
    </xf>
    <xf numFmtId="170" fontId="6" fillId="0" borderId="17" xfId="0" applyNumberFormat="1" applyFont="1" applyFill="1" applyBorder="1" applyAlignment="1">
      <alignment vertical="center"/>
    </xf>
    <xf numFmtId="165" fontId="6" fillId="0" borderId="17" xfId="1" applyFont="1" applyFill="1" applyBorder="1" applyAlignment="1">
      <alignment vertical="center"/>
    </xf>
    <xf numFmtId="170" fontId="6" fillId="0" borderId="8" xfId="0" applyNumberFormat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 wrapText="1"/>
    </xf>
    <xf numFmtId="165" fontId="6" fillId="0" borderId="25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left" vertical="center" wrapText="1"/>
    </xf>
    <xf numFmtId="0" fontId="24" fillId="0" borderId="17" xfId="4" applyFont="1" applyFill="1" applyBorder="1" applyAlignment="1">
      <alignment horizontal="center" vertical="center" wrapText="1"/>
    </xf>
    <xf numFmtId="0" fontId="24" fillId="0" borderId="8" xfId="4" applyFont="1" applyFill="1" applyBorder="1" applyAlignment="1">
      <alignment horizontal="center" vertical="center" wrapText="1"/>
    </xf>
    <xf numFmtId="169" fontId="12" fillId="0" borderId="17" xfId="4" applyNumberFormat="1" applyFont="1" applyFill="1" applyBorder="1" applyAlignment="1">
      <alignment vertical="center" wrapText="1"/>
    </xf>
    <xf numFmtId="0" fontId="16" fillId="0" borderId="17" xfId="4" applyFont="1" applyFill="1" applyBorder="1" applyAlignment="1">
      <alignment horizontal="center" vertical="center" wrapText="1"/>
    </xf>
    <xf numFmtId="0" fontId="16" fillId="0" borderId="8" xfId="4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17" xfId="4" applyFont="1" applyFill="1" applyBorder="1" applyAlignment="1">
      <alignment horizontal="center" vertical="center" wrapText="1"/>
    </xf>
    <xf numFmtId="0" fontId="4" fillId="0" borderId="0" xfId="0" applyFont="1" applyFill="1"/>
    <xf numFmtId="165" fontId="6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vertical="center"/>
    </xf>
    <xf numFmtId="170" fontId="6" fillId="0" borderId="22" xfId="0" applyNumberFormat="1" applyFont="1" applyFill="1" applyBorder="1" applyAlignment="1">
      <alignment vertical="center"/>
    </xf>
    <xf numFmtId="170" fontId="6" fillId="0" borderId="18" xfId="0" applyNumberFormat="1" applyFont="1" applyFill="1" applyBorder="1" applyAlignment="1">
      <alignment vertical="center"/>
    </xf>
    <xf numFmtId="165" fontId="6" fillId="0" borderId="14" xfId="0" applyNumberFormat="1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166" fontId="6" fillId="0" borderId="18" xfId="0" applyNumberFormat="1" applyFont="1" applyFill="1" applyBorder="1" applyAlignment="1">
      <alignment vertical="center"/>
    </xf>
    <xf numFmtId="170" fontId="6" fillId="0" borderId="14" xfId="0" applyNumberFormat="1" applyFont="1" applyFill="1" applyBorder="1" applyAlignment="1">
      <alignment vertical="center"/>
    </xf>
    <xf numFmtId="0" fontId="10" fillId="0" borderId="0" xfId="0" applyFont="1" applyFill="1" applyBorder="1"/>
    <xf numFmtId="0" fontId="5" fillId="0" borderId="0" xfId="0" applyFont="1" applyFill="1" applyBorder="1"/>
    <xf numFmtId="165" fontId="5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/>
    </xf>
    <xf numFmtId="169" fontId="5" fillId="0" borderId="0" xfId="0" applyNumberFormat="1" applyFont="1" applyFill="1" applyBorder="1"/>
    <xf numFmtId="165" fontId="12" fillId="0" borderId="14" xfId="2" applyNumberFormat="1" applyFont="1" applyFill="1" applyBorder="1" applyAlignment="1">
      <alignment vertical="center" wrapText="1"/>
    </xf>
    <xf numFmtId="2" fontId="6" fillId="0" borderId="17" xfId="0" applyNumberFormat="1" applyFont="1" applyFill="1" applyBorder="1" applyAlignment="1">
      <alignment horizontal="center" vertical="center"/>
    </xf>
    <xf numFmtId="169" fontId="6" fillId="0" borderId="17" xfId="0" applyNumberFormat="1" applyFont="1" applyFill="1" applyBorder="1" applyAlignment="1">
      <alignment horizontal="center" vertical="center"/>
    </xf>
    <xf numFmtId="169" fontId="6" fillId="0" borderId="18" xfId="0" applyNumberFormat="1" applyFont="1" applyFill="1" applyBorder="1" applyAlignment="1">
      <alignment vertical="center"/>
    </xf>
    <xf numFmtId="2" fontId="6" fillId="0" borderId="18" xfId="0" applyNumberFormat="1" applyFont="1" applyFill="1" applyBorder="1" applyAlignment="1">
      <alignment horizontal="center" vertical="center"/>
    </xf>
    <xf numFmtId="171" fontId="6" fillId="0" borderId="18" xfId="0" applyNumberFormat="1" applyFont="1" applyFill="1" applyBorder="1" applyAlignment="1">
      <alignment horizontal="center" vertical="center"/>
    </xf>
    <xf numFmtId="170" fontId="6" fillId="0" borderId="17" xfId="0" applyNumberFormat="1" applyFont="1" applyFill="1" applyBorder="1" applyAlignment="1">
      <alignment horizontal="center" vertical="center"/>
    </xf>
    <xf numFmtId="170" fontId="6" fillId="0" borderId="18" xfId="0" applyNumberFormat="1" applyFont="1" applyFill="1" applyBorder="1" applyAlignment="1">
      <alignment horizontal="center" vertical="center"/>
    </xf>
    <xf numFmtId="2" fontId="6" fillId="0" borderId="8" xfId="0" applyNumberFormat="1" applyFont="1" applyFill="1" applyBorder="1" applyAlignment="1">
      <alignment horizontal="center" vertical="center"/>
    </xf>
    <xf numFmtId="2" fontId="6" fillId="0" borderId="2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21" fillId="0" borderId="2" xfId="0" applyNumberFormat="1" applyFont="1" applyFill="1" applyBorder="1" applyAlignment="1">
      <alignment horizontal="center" vertical="center" wrapText="1"/>
    </xf>
    <xf numFmtId="2" fontId="6" fillId="0" borderId="20" xfId="0" applyNumberFormat="1" applyFont="1" applyFill="1" applyBorder="1" applyAlignment="1">
      <alignment horizontal="center" vertical="center"/>
    </xf>
    <xf numFmtId="165" fontId="12" fillId="0" borderId="2" xfId="2" applyNumberFormat="1" applyFont="1" applyFill="1" applyBorder="1" applyAlignment="1">
      <alignment horizontal="center" vertical="center" wrapText="1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 wrapText="1"/>
    </xf>
    <xf numFmtId="165" fontId="6" fillId="0" borderId="8" xfId="0" applyNumberFormat="1" applyFont="1" applyFill="1" applyBorder="1" applyAlignment="1">
      <alignment horizontal="center" vertical="center"/>
    </xf>
    <xf numFmtId="165" fontId="21" fillId="0" borderId="2" xfId="0" applyNumberFormat="1" applyFont="1" applyFill="1" applyBorder="1" applyAlignment="1">
      <alignment horizontal="center" vertical="center" wrapText="1"/>
    </xf>
    <xf numFmtId="165" fontId="6" fillId="0" borderId="20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165" fontId="12" fillId="0" borderId="17" xfId="4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/>
    </xf>
    <xf numFmtId="170" fontId="6" fillId="0" borderId="20" xfId="0" applyNumberFormat="1" applyFont="1" applyFill="1" applyBorder="1" applyAlignment="1">
      <alignment vertical="center"/>
    </xf>
    <xf numFmtId="170" fontId="6" fillId="0" borderId="26" xfId="0" applyNumberFormat="1" applyFont="1" applyFill="1" applyBorder="1" applyAlignment="1">
      <alignment vertical="center"/>
    </xf>
    <xf numFmtId="170" fontId="6" fillId="0" borderId="21" xfId="0" applyNumberFormat="1" applyFont="1" applyFill="1" applyBorder="1" applyAlignment="1">
      <alignment vertical="center"/>
    </xf>
    <xf numFmtId="165" fontId="12" fillId="0" borderId="8" xfId="4" applyNumberFormat="1" applyFont="1" applyFill="1" applyBorder="1" applyAlignment="1">
      <alignment vertical="center" wrapText="1"/>
    </xf>
    <xf numFmtId="165" fontId="6" fillId="0" borderId="25" xfId="0" applyNumberFormat="1" applyFont="1" applyFill="1" applyBorder="1" applyAlignment="1">
      <alignment vertical="center" wrapText="1"/>
    </xf>
    <xf numFmtId="165" fontId="6" fillId="0" borderId="26" xfId="0" applyNumberFormat="1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169" fontId="6" fillId="0" borderId="8" xfId="0" applyNumberFormat="1" applyFont="1" applyFill="1" applyBorder="1" applyAlignment="1">
      <alignment vertical="center"/>
    </xf>
    <xf numFmtId="165" fontId="21" fillId="0" borderId="25" xfId="0" applyNumberFormat="1" applyFont="1" applyFill="1" applyBorder="1" applyAlignment="1">
      <alignment horizontal="center" vertical="center" wrapText="1"/>
    </xf>
    <xf numFmtId="169" fontId="6" fillId="0" borderId="8" xfId="0" applyNumberFormat="1" applyFont="1" applyFill="1" applyBorder="1" applyAlignment="1">
      <alignment horizontal="center" vertical="center"/>
    </xf>
    <xf numFmtId="165" fontId="6" fillId="0" borderId="25" xfId="0" applyNumberFormat="1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24" fillId="0" borderId="20" xfId="4" applyFont="1" applyFill="1" applyBorder="1" applyAlignment="1">
      <alignment horizontal="center" vertical="center" wrapText="1"/>
    </xf>
    <xf numFmtId="169" fontId="12" fillId="0" borderId="8" xfId="4" applyNumberFormat="1" applyFont="1" applyFill="1" applyBorder="1" applyAlignment="1">
      <alignment vertical="center" wrapText="1"/>
    </xf>
    <xf numFmtId="170" fontId="6" fillId="0" borderId="8" xfId="0" applyNumberFormat="1" applyFont="1" applyFill="1" applyBorder="1" applyAlignment="1">
      <alignment horizontal="center" vertical="center"/>
    </xf>
    <xf numFmtId="0" fontId="16" fillId="0" borderId="20" xfId="4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4" fillId="0" borderId="20" xfId="4" applyFont="1" applyFill="1" applyBorder="1" applyAlignment="1">
      <alignment horizontal="center" vertical="center" wrapText="1"/>
    </xf>
    <xf numFmtId="165" fontId="21" fillId="0" borderId="2" xfId="0" applyNumberFormat="1" applyFont="1" applyFill="1" applyBorder="1" applyAlignment="1">
      <alignment horizontal="left" vertical="center" wrapText="1"/>
    </xf>
    <xf numFmtId="164" fontId="5" fillId="0" borderId="17" xfId="0" applyNumberFormat="1" applyFont="1" applyFill="1" applyBorder="1" applyAlignment="1">
      <alignment vertical="center"/>
    </xf>
    <xf numFmtId="164" fontId="5" fillId="0" borderId="20" xfId="0" applyNumberFormat="1" applyFont="1" applyFill="1" applyBorder="1" applyAlignment="1">
      <alignment vertical="center"/>
    </xf>
    <xf numFmtId="172" fontId="5" fillId="0" borderId="17" xfId="0" applyNumberFormat="1" applyFont="1" applyFill="1" applyBorder="1" applyAlignment="1">
      <alignment vertical="center"/>
    </xf>
    <xf numFmtId="172" fontId="16" fillId="0" borderId="17" xfId="4" applyNumberFormat="1" applyFont="1" applyFill="1" applyBorder="1" applyAlignment="1">
      <alignment vertical="center" wrapText="1"/>
    </xf>
    <xf numFmtId="164" fontId="16" fillId="0" borderId="17" xfId="4" applyNumberFormat="1" applyFont="1" applyFill="1" applyBorder="1" applyAlignment="1">
      <alignment vertical="center" wrapText="1"/>
    </xf>
    <xf numFmtId="164" fontId="16" fillId="0" borderId="8" xfId="4" applyNumberFormat="1" applyFont="1" applyFill="1" applyBorder="1" applyAlignment="1">
      <alignment vertical="center" wrapText="1"/>
    </xf>
    <xf numFmtId="164" fontId="21" fillId="0" borderId="25" xfId="0" applyNumberFormat="1" applyFont="1" applyFill="1" applyBorder="1" applyAlignment="1">
      <alignment vertical="center" wrapText="1"/>
    </xf>
    <xf numFmtId="164" fontId="16" fillId="0" borderId="20" xfId="4" applyNumberFormat="1" applyFont="1" applyFill="1" applyBorder="1" applyAlignment="1">
      <alignment vertical="center" wrapText="1"/>
    </xf>
    <xf numFmtId="164" fontId="22" fillId="0" borderId="17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vertical="center"/>
    </xf>
    <xf numFmtId="164" fontId="6" fillId="0" borderId="17" xfId="0" applyNumberFormat="1" applyFont="1" applyFill="1" applyBorder="1" applyAlignment="1">
      <alignment vertical="center"/>
    </xf>
    <xf numFmtId="164" fontId="5" fillId="0" borderId="0" xfId="0" applyNumberFormat="1" applyFont="1" applyFill="1" applyAlignment="1">
      <alignment vertical="center"/>
    </xf>
    <xf numFmtId="164" fontId="5" fillId="0" borderId="16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4" fontId="5" fillId="0" borderId="7" xfId="0" applyNumberFormat="1" applyFont="1" applyFill="1" applyBorder="1" applyAlignment="1">
      <alignment vertical="center"/>
    </xf>
    <xf numFmtId="164" fontId="6" fillId="0" borderId="1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6" fillId="0" borderId="0" xfId="0" applyFont="1" applyFill="1"/>
    <xf numFmtId="164" fontId="26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vertical="center" wrapText="1"/>
    </xf>
    <xf numFmtId="165" fontId="26" fillId="0" borderId="0" xfId="0" applyNumberFormat="1" applyFont="1" applyFill="1" applyAlignment="1">
      <alignment vertical="center"/>
    </xf>
    <xf numFmtId="0" fontId="28" fillId="0" borderId="0" xfId="0" applyFont="1" applyFill="1" applyAlignment="1">
      <alignment vertical="center" wrapText="1"/>
    </xf>
    <xf numFmtId="0" fontId="26" fillId="0" borderId="0" xfId="0" applyFont="1" applyFill="1" applyBorder="1"/>
    <xf numFmtId="0" fontId="26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vertical="center" wrapText="1"/>
    </xf>
    <xf numFmtId="165" fontId="11" fillId="0" borderId="8" xfId="2" applyNumberFormat="1" applyFont="1" applyFill="1" applyBorder="1" applyAlignment="1">
      <alignment vertical="center" wrapText="1"/>
    </xf>
    <xf numFmtId="164" fontId="25" fillId="0" borderId="8" xfId="3" applyNumberFormat="1" applyFont="1" applyFill="1" applyBorder="1" applyAlignment="1">
      <alignment vertical="center" wrapText="1"/>
    </xf>
    <xf numFmtId="164" fontId="3" fillId="0" borderId="8" xfId="2" applyNumberFormat="1" applyFont="1" applyFill="1" applyBorder="1" applyAlignment="1">
      <alignment vertical="center" wrapText="1"/>
    </xf>
    <xf numFmtId="164" fontId="11" fillId="0" borderId="8" xfId="3" applyNumberFormat="1" applyFont="1" applyFill="1" applyBorder="1" applyAlignment="1">
      <alignment vertical="center" wrapText="1"/>
    </xf>
    <xf numFmtId="0" fontId="11" fillId="0" borderId="8" xfId="3" applyFont="1" applyFill="1" applyBorder="1" applyAlignment="1">
      <alignment vertical="center" wrapText="1"/>
    </xf>
    <xf numFmtId="165" fontId="11" fillId="0" borderId="8" xfId="3" applyNumberFormat="1" applyFont="1" applyFill="1" applyBorder="1" applyAlignment="1">
      <alignment horizontal="center" vertical="center" wrapText="1"/>
    </xf>
    <xf numFmtId="165" fontId="6" fillId="0" borderId="17" xfId="0" applyNumberFormat="1" applyFont="1" applyFill="1" applyBorder="1" applyAlignment="1">
      <alignment horizontal="center" vertical="center" wrapText="1"/>
    </xf>
    <xf numFmtId="170" fontId="5" fillId="0" borderId="14" xfId="0" applyNumberFormat="1" applyFont="1" applyFill="1" applyBorder="1" applyAlignment="1">
      <alignment horizontal="center" vertical="center"/>
    </xf>
    <xf numFmtId="165" fontId="6" fillId="0" borderId="17" xfId="4" applyNumberFormat="1" applyFont="1" applyFill="1" applyBorder="1" applyAlignment="1">
      <alignment vertical="center" wrapText="1"/>
    </xf>
    <xf numFmtId="170" fontId="5" fillId="0" borderId="18" xfId="0" applyNumberFormat="1" applyFont="1" applyFill="1" applyBorder="1" applyAlignment="1">
      <alignment horizontal="center" vertical="center"/>
    </xf>
    <xf numFmtId="165" fontId="6" fillId="0" borderId="20" xfId="4" applyNumberFormat="1" applyFont="1" applyFill="1" applyBorder="1" applyAlignment="1">
      <alignment vertical="center" wrapText="1"/>
    </xf>
    <xf numFmtId="170" fontId="5" fillId="0" borderId="21" xfId="0" applyNumberFormat="1" applyFont="1" applyFill="1" applyBorder="1" applyAlignment="1">
      <alignment horizontal="center" vertical="center"/>
    </xf>
    <xf numFmtId="166" fontId="6" fillId="0" borderId="22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6" fontId="6" fillId="0" borderId="14" xfId="0" applyNumberFormat="1" applyFont="1" applyFill="1" applyBorder="1" applyAlignment="1">
      <alignment vertical="center"/>
    </xf>
    <xf numFmtId="164" fontId="22" fillId="0" borderId="8" xfId="0" applyNumberFormat="1" applyFont="1" applyFill="1" applyBorder="1" applyAlignment="1">
      <alignment vertical="center" wrapText="1"/>
    </xf>
    <xf numFmtId="2" fontId="6" fillId="0" borderId="14" xfId="0" applyNumberFormat="1" applyFont="1" applyFill="1" applyBorder="1" applyAlignment="1">
      <alignment horizontal="center" vertical="center"/>
    </xf>
    <xf numFmtId="170" fontId="6" fillId="0" borderId="2" xfId="0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vertical="center" wrapText="1"/>
    </xf>
    <xf numFmtId="0" fontId="24" fillId="0" borderId="2" xfId="4" applyFont="1" applyFill="1" applyBorder="1" applyAlignment="1">
      <alignment horizontal="center" vertical="center" wrapText="1"/>
    </xf>
    <xf numFmtId="170" fontId="6" fillId="0" borderId="2" xfId="0" applyNumberFormat="1" applyFont="1" applyFill="1" applyBorder="1" applyAlignment="1">
      <alignment horizontal="center" vertical="center"/>
    </xf>
    <xf numFmtId="170" fontId="5" fillId="0" borderId="22" xfId="0" applyNumberFormat="1" applyFont="1" applyFill="1" applyBorder="1" applyAlignment="1">
      <alignment horizontal="center" vertical="center"/>
    </xf>
    <xf numFmtId="172" fontId="16" fillId="0" borderId="8" xfId="4" applyNumberFormat="1" applyFont="1" applyFill="1" applyBorder="1" applyAlignment="1">
      <alignment vertical="center" wrapText="1"/>
    </xf>
    <xf numFmtId="165" fontId="6" fillId="0" borderId="32" xfId="0" applyNumberFormat="1" applyFont="1" applyFill="1" applyBorder="1" applyAlignment="1">
      <alignment vertical="center"/>
    </xf>
    <xf numFmtId="165" fontId="6" fillId="0" borderId="32" xfId="0" applyNumberFormat="1" applyFont="1" applyFill="1" applyBorder="1" applyAlignment="1">
      <alignment horizontal="center" vertical="center"/>
    </xf>
    <xf numFmtId="165" fontId="6" fillId="0" borderId="33" xfId="0" applyNumberFormat="1" applyFont="1" applyFill="1" applyBorder="1" applyAlignment="1">
      <alignment vertical="center"/>
    </xf>
    <xf numFmtId="165" fontId="11" fillId="0" borderId="8" xfId="2" applyNumberFormat="1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165" fontId="24" fillId="0" borderId="17" xfId="0" applyNumberFormat="1" applyFont="1" applyBorder="1" applyAlignment="1">
      <alignment horizontal="left" wrapText="1"/>
    </xf>
    <xf numFmtId="165" fontId="24" fillId="0" borderId="17" xfId="0" applyNumberFormat="1" applyFont="1" applyBorder="1" applyAlignment="1">
      <alignment horizontal="left" vertical="center" wrapText="1"/>
    </xf>
    <xf numFmtId="165" fontId="24" fillId="0" borderId="20" xfId="0" applyNumberFormat="1" applyFont="1" applyBorder="1" applyAlignment="1">
      <alignment horizontal="left" wrapText="1"/>
    </xf>
    <xf numFmtId="165" fontId="24" fillId="0" borderId="35" xfId="0" applyNumberFormat="1" applyFont="1" applyBorder="1" applyAlignment="1">
      <alignment horizontal="left" wrapText="1"/>
    </xf>
    <xf numFmtId="165" fontId="24" fillId="0" borderId="36" xfId="0" applyNumberFormat="1" applyFont="1" applyBorder="1" applyAlignment="1">
      <alignment horizontal="left" wrapText="1"/>
    </xf>
    <xf numFmtId="0" fontId="21" fillId="0" borderId="2" xfId="0" applyFont="1" applyFill="1" applyBorder="1" applyAlignment="1">
      <alignment horizontal="center" vertical="center" wrapText="1"/>
    </xf>
    <xf numFmtId="165" fontId="31" fillId="0" borderId="17" xfId="0" applyNumberFormat="1" applyFont="1" applyBorder="1" applyAlignment="1">
      <alignment horizontal="left" wrapText="1"/>
    </xf>
    <xf numFmtId="165" fontId="32" fillId="0" borderId="17" xfId="0" applyNumberFormat="1" applyFont="1" applyBorder="1" applyAlignment="1">
      <alignment horizontal="left" vertical="center" wrapText="1"/>
    </xf>
    <xf numFmtId="0" fontId="33" fillId="0" borderId="17" xfId="0" applyFont="1" applyFill="1" applyBorder="1" applyAlignment="1">
      <alignment vertical="center" wrapText="1"/>
    </xf>
    <xf numFmtId="0" fontId="34" fillId="0" borderId="17" xfId="0" applyFont="1" applyFill="1" applyBorder="1" applyAlignment="1">
      <alignment vertical="center" wrapText="1"/>
    </xf>
    <xf numFmtId="0" fontId="34" fillId="0" borderId="8" xfId="4" applyFont="1" applyFill="1" applyBorder="1" applyAlignment="1">
      <alignment vertical="center" wrapText="1"/>
    </xf>
    <xf numFmtId="165" fontId="35" fillId="0" borderId="17" xfId="0" applyNumberFormat="1" applyFont="1" applyBorder="1" applyAlignment="1">
      <alignment horizontal="left" wrapText="1"/>
    </xf>
    <xf numFmtId="165" fontId="35" fillId="0" borderId="36" xfId="0" applyNumberFormat="1" applyFont="1" applyBorder="1" applyAlignment="1">
      <alignment horizontal="left" wrapText="1"/>
    </xf>
    <xf numFmtId="173" fontId="6" fillId="0" borderId="17" xfId="0" applyNumberFormat="1" applyFont="1" applyFill="1" applyBorder="1" applyAlignment="1">
      <alignment vertical="center"/>
    </xf>
    <xf numFmtId="0" fontId="36" fillId="0" borderId="17" xfId="0" applyFont="1" applyFill="1" applyBorder="1" applyAlignment="1">
      <alignment vertical="center" wrapText="1"/>
    </xf>
    <xf numFmtId="165" fontId="7" fillId="0" borderId="17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center"/>
    </xf>
    <xf numFmtId="0" fontId="37" fillId="0" borderId="17" xfId="0" applyFont="1" applyFill="1" applyBorder="1" applyAlignment="1">
      <alignment vertical="center" wrapText="1"/>
    </xf>
    <xf numFmtId="174" fontId="6" fillId="0" borderId="17" xfId="0" applyNumberFormat="1" applyFont="1" applyFill="1" applyBorder="1" applyAlignment="1">
      <alignment vertical="center"/>
    </xf>
    <xf numFmtId="165" fontId="38" fillId="0" borderId="17" xfId="0" applyNumberFormat="1" applyFont="1" applyBorder="1" applyAlignment="1">
      <alignment horizontal="left" wrapText="1"/>
    </xf>
    <xf numFmtId="165" fontId="38" fillId="0" borderId="35" xfId="0" applyNumberFormat="1" applyFont="1" applyBorder="1" applyAlignment="1">
      <alignment horizontal="left" wrapText="1"/>
    </xf>
    <xf numFmtId="165" fontId="38" fillId="0" borderId="20" xfId="0" applyNumberFormat="1" applyFont="1" applyBorder="1" applyAlignment="1">
      <alignment horizontal="left" wrapText="1"/>
    </xf>
    <xf numFmtId="0" fontId="39" fillId="0" borderId="20" xfId="0" applyFont="1" applyFill="1" applyBorder="1" applyAlignment="1">
      <alignment vertical="center" wrapText="1"/>
    </xf>
    <xf numFmtId="165" fontId="40" fillId="0" borderId="20" xfId="0" applyNumberFormat="1" applyFont="1" applyFill="1" applyBorder="1" applyAlignment="1">
      <alignment vertical="center"/>
    </xf>
    <xf numFmtId="0" fontId="39" fillId="0" borderId="17" xfId="0" applyFont="1" applyFill="1" applyBorder="1" applyAlignment="1">
      <alignment vertical="center" wrapText="1"/>
    </xf>
    <xf numFmtId="173" fontId="6" fillId="0" borderId="8" xfId="0" applyNumberFormat="1" applyFont="1" applyFill="1" applyBorder="1" applyAlignment="1">
      <alignment vertical="center"/>
    </xf>
    <xf numFmtId="0" fontId="37" fillId="0" borderId="8" xfId="4" applyFont="1" applyFill="1" applyBorder="1" applyAlignment="1">
      <alignment vertical="center" wrapText="1"/>
    </xf>
    <xf numFmtId="0" fontId="41" fillId="0" borderId="17" xfId="0" applyFont="1" applyFill="1" applyBorder="1" applyAlignment="1">
      <alignment vertical="center" wrapText="1"/>
    </xf>
    <xf numFmtId="0" fontId="37" fillId="0" borderId="17" xfId="0" applyFont="1" applyFill="1" applyBorder="1" applyAlignment="1">
      <alignment horizontal="left" vertical="center" wrapText="1"/>
    </xf>
    <xf numFmtId="173" fontId="6" fillId="0" borderId="20" xfId="0" applyNumberFormat="1" applyFont="1" applyFill="1" applyBorder="1" applyAlignment="1">
      <alignment vertical="center"/>
    </xf>
    <xf numFmtId="173" fontId="6" fillId="0" borderId="2" xfId="0" applyNumberFormat="1" applyFont="1" applyFill="1" applyBorder="1" applyAlignment="1">
      <alignment vertical="center"/>
    </xf>
    <xf numFmtId="165" fontId="40" fillId="0" borderId="17" xfId="0" applyNumberFormat="1" applyFont="1" applyFill="1" applyBorder="1" applyAlignment="1">
      <alignment vertical="center"/>
    </xf>
    <xf numFmtId="173" fontId="40" fillId="0" borderId="17" xfId="0" applyNumberFormat="1" applyFont="1" applyFill="1" applyBorder="1" applyAlignment="1">
      <alignment vertical="center"/>
    </xf>
    <xf numFmtId="0" fontId="37" fillId="2" borderId="17" xfId="0" applyFont="1" applyFill="1" applyBorder="1" applyAlignment="1">
      <alignment vertical="center" wrapText="1"/>
    </xf>
    <xf numFmtId="0" fontId="37" fillId="0" borderId="23" xfId="0" applyFont="1" applyFill="1" applyBorder="1" applyAlignment="1">
      <alignment vertical="center" wrapText="1"/>
    </xf>
    <xf numFmtId="173" fontId="23" fillId="0" borderId="17" xfId="0" applyNumberFormat="1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4" fillId="0" borderId="16" xfId="4" applyFont="1" applyFill="1" applyBorder="1" applyAlignment="1">
      <alignment vertical="center" wrapText="1"/>
    </xf>
    <xf numFmtId="0" fontId="14" fillId="0" borderId="17" xfId="4" applyFont="1" applyFill="1" applyBorder="1" applyAlignment="1">
      <alignment vertical="center" wrapText="1"/>
    </xf>
    <xf numFmtId="165" fontId="11" fillId="0" borderId="8" xfId="2" applyNumberFormat="1" applyFont="1" applyFill="1" applyBorder="1" applyAlignment="1">
      <alignment vertical="center" wrapText="1"/>
    </xf>
    <xf numFmtId="165" fontId="42" fillId="0" borderId="17" xfId="0" applyNumberFormat="1" applyFont="1" applyBorder="1" applyAlignment="1">
      <alignment horizontal="left" wrapText="1"/>
    </xf>
    <xf numFmtId="165" fontId="4" fillId="0" borderId="17" xfId="0" applyNumberFormat="1" applyFont="1" applyBorder="1" applyAlignment="1">
      <alignment horizontal="left" wrapText="1"/>
    </xf>
    <xf numFmtId="173" fontId="6" fillId="0" borderId="17" xfId="0" applyNumberFormat="1" applyFont="1" applyFill="1" applyBorder="1" applyAlignment="1">
      <alignment vertical="center" wrapText="1"/>
    </xf>
    <xf numFmtId="173" fontId="12" fillId="0" borderId="2" xfId="2" applyNumberFormat="1" applyFont="1" applyFill="1" applyBorder="1" applyAlignment="1">
      <alignment vertical="center" wrapText="1"/>
    </xf>
    <xf numFmtId="173" fontId="6" fillId="0" borderId="2" xfId="0" applyNumberFormat="1" applyFont="1" applyFill="1" applyBorder="1" applyAlignment="1">
      <alignment vertical="center" wrapText="1"/>
    </xf>
    <xf numFmtId="0" fontId="17" fillId="0" borderId="8" xfId="4" applyFont="1" applyFill="1" applyBorder="1" applyAlignment="1">
      <alignment vertical="center" wrapText="1"/>
    </xf>
    <xf numFmtId="173" fontId="6" fillId="0" borderId="25" xfId="0" applyNumberFormat="1" applyFont="1" applyFill="1" applyBorder="1" applyAlignment="1">
      <alignment vertical="center"/>
    </xf>
    <xf numFmtId="173" fontId="6" fillId="0" borderId="32" xfId="0" applyNumberFormat="1" applyFont="1" applyFill="1" applyBorder="1" applyAlignment="1">
      <alignment vertical="center"/>
    </xf>
    <xf numFmtId="173" fontId="6" fillId="0" borderId="17" xfId="0" applyNumberFormat="1" applyFont="1" applyFill="1" applyBorder="1" applyAlignment="1">
      <alignment horizontal="center" vertical="center"/>
    </xf>
    <xf numFmtId="173" fontId="6" fillId="0" borderId="2" xfId="0" applyNumberFormat="1" applyFont="1" applyFill="1" applyBorder="1" applyAlignment="1">
      <alignment horizontal="center" vertical="center"/>
    </xf>
    <xf numFmtId="173" fontId="6" fillId="0" borderId="17" xfId="0" applyNumberFormat="1" applyFont="1" applyFill="1" applyBorder="1" applyAlignment="1">
      <alignment horizontal="center" vertical="center" wrapText="1"/>
    </xf>
    <xf numFmtId="173" fontId="6" fillId="0" borderId="8" xfId="0" applyNumberFormat="1" applyFont="1" applyFill="1" applyBorder="1" applyAlignment="1">
      <alignment horizontal="center" vertical="center"/>
    </xf>
    <xf numFmtId="173" fontId="6" fillId="0" borderId="20" xfId="0" applyNumberFormat="1" applyFont="1" applyFill="1" applyBorder="1" applyAlignment="1">
      <alignment horizontal="center" vertical="center"/>
    </xf>
    <xf numFmtId="175" fontId="6" fillId="0" borderId="17" xfId="0" applyNumberFormat="1" applyFont="1" applyFill="1" applyBorder="1" applyAlignment="1">
      <alignment vertical="center"/>
    </xf>
    <xf numFmtId="173" fontId="6" fillId="0" borderId="25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center" vertical="center"/>
    </xf>
    <xf numFmtId="173" fontId="2" fillId="0" borderId="20" xfId="0" applyNumberFormat="1" applyFont="1" applyFill="1" applyBorder="1" applyAlignment="1">
      <alignment vertical="center"/>
    </xf>
    <xf numFmtId="177" fontId="6" fillId="0" borderId="18" xfId="0" applyNumberFormat="1" applyFont="1" applyFill="1" applyBorder="1" applyAlignment="1">
      <alignment vertical="center"/>
    </xf>
    <xf numFmtId="173" fontId="6" fillId="0" borderId="25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167" fontId="6" fillId="0" borderId="3" xfId="0" applyNumberFormat="1" applyFont="1" applyFill="1" applyBorder="1" applyAlignment="1">
      <alignment horizontal="center" vertical="center" wrapText="1"/>
    </xf>
    <xf numFmtId="167" fontId="6" fillId="0" borderId="4" xfId="0" applyNumberFormat="1" applyFont="1" applyFill="1" applyBorder="1" applyAlignment="1">
      <alignment horizontal="center" vertical="center" wrapText="1"/>
    </xf>
    <xf numFmtId="167" fontId="6" fillId="0" borderId="5" xfId="0" applyNumberFormat="1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right" vertical="center"/>
    </xf>
    <xf numFmtId="0" fontId="6" fillId="0" borderId="30" xfId="0" applyFont="1" applyFill="1" applyBorder="1" applyAlignment="1">
      <alignment horizontal="right" vertical="center"/>
    </xf>
    <xf numFmtId="0" fontId="6" fillId="0" borderId="31" xfId="0" applyFont="1" applyFill="1" applyBorder="1" applyAlignment="1">
      <alignment horizontal="right" vertical="center"/>
    </xf>
    <xf numFmtId="164" fontId="6" fillId="0" borderId="34" xfId="0" applyNumberFormat="1" applyFont="1" applyFill="1" applyBorder="1" applyAlignment="1">
      <alignment horizontal="right" vertical="center"/>
    </xf>
    <xf numFmtId="164" fontId="6" fillId="0" borderId="30" xfId="0" applyNumberFormat="1" applyFont="1" applyFill="1" applyBorder="1" applyAlignment="1">
      <alignment horizontal="right" vertical="center"/>
    </xf>
    <xf numFmtId="164" fontId="6" fillId="0" borderId="31" xfId="0" applyNumberFormat="1" applyFont="1" applyFill="1" applyBorder="1" applyAlignment="1">
      <alignment horizontal="right" vertical="center"/>
    </xf>
    <xf numFmtId="0" fontId="2" fillId="0" borderId="28" xfId="2" applyFont="1" applyFill="1" applyBorder="1" applyAlignment="1">
      <alignment horizontal="center" vertical="center" textRotation="90" wrapText="1"/>
    </xf>
    <xf numFmtId="0" fontId="2" fillId="0" borderId="10" xfId="2" applyFont="1" applyFill="1" applyBorder="1" applyAlignment="1">
      <alignment horizontal="center" vertical="center" textRotation="90" wrapText="1"/>
    </xf>
    <xf numFmtId="0" fontId="11" fillId="0" borderId="28" xfId="2" applyFont="1" applyFill="1" applyBorder="1" applyAlignment="1">
      <alignment horizontal="center" vertical="center" textRotation="90" wrapText="1"/>
    </xf>
    <xf numFmtId="0" fontId="11" fillId="0" borderId="10" xfId="2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7" fontId="6" fillId="0" borderId="3" xfId="0" applyNumberFormat="1" applyFont="1" applyFill="1" applyBorder="1" applyAlignment="1">
      <alignment horizontal="center" vertical="center"/>
    </xf>
    <xf numFmtId="167" fontId="6" fillId="0" borderId="4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textRotation="90" wrapText="1"/>
    </xf>
    <xf numFmtId="0" fontId="2" fillId="0" borderId="15" xfId="2" applyFont="1" applyFill="1" applyBorder="1" applyAlignment="1">
      <alignment horizontal="center" vertical="center" textRotation="90" wrapText="1"/>
    </xf>
    <xf numFmtId="0" fontId="2" fillId="0" borderId="24" xfId="2" applyFont="1" applyFill="1" applyBorder="1" applyAlignment="1">
      <alignment horizontal="center" vertical="center" textRotation="90" wrapText="1"/>
    </xf>
    <xf numFmtId="0" fontId="14" fillId="0" borderId="1" xfId="4" applyFont="1" applyFill="1" applyBorder="1" applyAlignment="1">
      <alignment horizontal="left" vertical="center" wrapText="1"/>
    </xf>
    <xf numFmtId="0" fontId="14" fillId="0" borderId="2" xfId="4" applyFont="1" applyFill="1" applyBorder="1" applyAlignment="1">
      <alignment horizontal="left" vertical="center" wrapText="1"/>
    </xf>
    <xf numFmtId="167" fontId="11" fillId="0" borderId="2" xfId="0" applyNumberFormat="1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4" fillId="0" borderId="16" xfId="4" applyFont="1" applyFill="1" applyBorder="1" applyAlignment="1">
      <alignment horizontal="left" vertical="center" wrapText="1"/>
    </xf>
    <xf numFmtId="0" fontId="14" fillId="0" borderId="17" xfId="4" applyFont="1" applyFill="1" applyBorder="1" applyAlignment="1">
      <alignment horizontal="left" vertical="center" wrapText="1"/>
    </xf>
    <xf numFmtId="0" fontId="14" fillId="0" borderId="17" xfId="4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textRotation="90"/>
    </xf>
    <xf numFmtId="0" fontId="2" fillId="0" borderId="24" xfId="0" applyFont="1" applyFill="1" applyBorder="1" applyAlignment="1">
      <alignment horizontal="center" vertical="center" textRotation="90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textRotation="90"/>
    </xf>
    <xf numFmtId="0" fontId="14" fillId="0" borderId="1" xfId="4" applyFont="1" applyFill="1" applyBorder="1" applyAlignment="1">
      <alignment vertical="center" wrapText="1"/>
    </xf>
    <xf numFmtId="0" fontId="14" fillId="0" borderId="2" xfId="4" applyFont="1" applyFill="1" applyBorder="1" applyAlignment="1">
      <alignment vertical="center" wrapText="1"/>
    </xf>
    <xf numFmtId="0" fontId="14" fillId="0" borderId="16" xfId="4" applyFont="1" applyFill="1" applyBorder="1" applyAlignment="1">
      <alignment vertical="center" wrapText="1"/>
    </xf>
    <xf numFmtId="0" fontId="11" fillId="0" borderId="1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center" vertical="center" wrapText="1"/>
    </xf>
    <xf numFmtId="0" fontId="12" fillId="0" borderId="13" xfId="2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4" fillId="0" borderId="39" xfId="4" applyFont="1" applyFill="1" applyBorder="1" applyAlignment="1">
      <alignment vertical="center" wrapText="1"/>
    </xf>
    <xf numFmtId="0" fontId="14" fillId="0" borderId="37" xfId="4" applyFont="1" applyFill="1" applyBorder="1" applyAlignment="1">
      <alignment vertical="center" wrapText="1"/>
    </xf>
    <xf numFmtId="0" fontId="14" fillId="0" borderId="38" xfId="4" applyFont="1" applyFill="1" applyBorder="1" applyAlignment="1">
      <alignment vertical="center" wrapText="1"/>
    </xf>
    <xf numFmtId="0" fontId="14" fillId="0" borderId="36" xfId="4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vertical="center" wrapText="1"/>
    </xf>
    <xf numFmtId="0" fontId="11" fillId="0" borderId="8" xfId="2" applyFont="1" applyFill="1" applyBorder="1" applyAlignment="1">
      <alignment vertical="center" wrapText="1"/>
    </xf>
    <xf numFmtId="165" fontId="11" fillId="0" borderId="2" xfId="2" applyNumberFormat="1" applyFont="1" applyFill="1" applyBorder="1" applyAlignment="1">
      <alignment vertical="center" wrapText="1"/>
    </xf>
    <xf numFmtId="165" fontId="11" fillId="0" borderId="8" xfId="2" applyNumberFormat="1" applyFont="1" applyFill="1" applyBorder="1" applyAlignment="1">
      <alignment vertical="center" wrapText="1"/>
    </xf>
    <xf numFmtId="165" fontId="11" fillId="0" borderId="2" xfId="0" applyNumberFormat="1" applyFont="1" applyFill="1" applyBorder="1" applyAlignment="1">
      <alignment vertical="center" wrapText="1"/>
    </xf>
    <xf numFmtId="165" fontId="11" fillId="0" borderId="8" xfId="0" applyNumberFormat="1" applyFont="1" applyFill="1" applyBorder="1" applyAlignment="1">
      <alignment vertical="center" wrapText="1"/>
    </xf>
    <xf numFmtId="0" fontId="11" fillId="0" borderId="3" xfId="3" applyFont="1" applyFill="1" applyBorder="1" applyAlignment="1">
      <alignment vertical="center" wrapText="1"/>
    </xf>
    <xf numFmtId="0" fontId="11" fillId="0" borderId="4" xfId="3" applyFont="1" applyFill="1" applyBorder="1" applyAlignment="1">
      <alignment vertical="center" wrapText="1"/>
    </xf>
    <xf numFmtId="0" fontId="11" fillId="0" borderId="5" xfId="3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 wrapText="1"/>
    </xf>
    <xf numFmtId="0" fontId="25" fillId="0" borderId="9" xfId="0" applyFont="1" applyFill="1" applyBorder="1" applyAlignment="1">
      <alignment vertical="center" wrapText="1"/>
    </xf>
    <xf numFmtId="184" fontId="6" fillId="0" borderId="18" xfId="0" applyNumberFormat="1" applyFont="1" applyFill="1" applyBorder="1" applyAlignment="1">
      <alignment horizontal="center" vertical="center"/>
    </xf>
    <xf numFmtId="165" fontId="4" fillId="0" borderId="25" xfId="0" applyNumberFormat="1" applyFont="1" applyBorder="1" applyAlignment="1">
      <alignment horizontal="left" wrapText="1"/>
    </xf>
    <xf numFmtId="165" fontId="4" fillId="0" borderId="20" xfId="0" applyNumberFormat="1" applyFont="1" applyBorder="1" applyAlignment="1">
      <alignment horizontal="left" wrapText="1"/>
    </xf>
    <xf numFmtId="0" fontId="11" fillId="0" borderId="16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7" fillId="2" borderId="17" xfId="0" applyFont="1" applyFill="1" applyBorder="1" applyAlignment="1">
      <alignment vertical="center" wrapText="1"/>
    </xf>
    <xf numFmtId="0" fontId="11" fillId="0" borderId="39" xfId="4" applyFont="1" applyFill="1" applyBorder="1" applyAlignment="1">
      <alignment vertical="center" wrapText="1"/>
    </xf>
    <xf numFmtId="0" fontId="11" fillId="0" borderId="37" xfId="4" applyFont="1" applyFill="1" applyBorder="1" applyAlignment="1">
      <alignment vertical="center" wrapText="1"/>
    </xf>
    <xf numFmtId="0" fontId="11" fillId="0" borderId="38" xfId="4" applyFont="1" applyFill="1" applyBorder="1" applyAlignment="1">
      <alignment vertical="center" wrapText="1"/>
    </xf>
    <xf numFmtId="0" fontId="11" fillId="0" borderId="36" xfId="4" applyFont="1" applyFill="1" applyBorder="1" applyAlignment="1">
      <alignment vertical="center" wrapText="1"/>
    </xf>
    <xf numFmtId="172" fontId="5" fillId="0" borderId="17" xfId="4" applyNumberFormat="1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164" fontId="5" fillId="0" borderId="17" xfId="4" applyNumberFormat="1" applyFont="1" applyFill="1" applyBorder="1" applyAlignment="1">
      <alignment vertical="center" wrapText="1"/>
    </xf>
    <xf numFmtId="164" fontId="5" fillId="0" borderId="8" xfId="4" applyNumberFormat="1" applyFont="1" applyFill="1" applyBorder="1" applyAlignment="1">
      <alignment vertical="center" wrapText="1"/>
    </xf>
    <xf numFmtId="164" fontId="5" fillId="0" borderId="20" xfId="4" applyNumberFormat="1" applyFont="1" applyFill="1" applyBorder="1" applyAlignment="1">
      <alignment vertical="center" wrapText="1"/>
    </xf>
    <xf numFmtId="164" fontId="6" fillId="0" borderId="25" xfId="0" applyNumberFormat="1" applyFont="1" applyFill="1" applyBorder="1" applyAlignment="1">
      <alignment vertical="center" wrapText="1"/>
    </xf>
    <xf numFmtId="0" fontId="17" fillId="0" borderId="23" xfId="0" applyFont="1" applyFill="1" applyBorder="1" applyAlignment="1">
      <alignment vertical="center" wrapText="1"/>
    </xf>
    <xf numFmtId="164" fontId="5" fillId="0" borderId="17" xfId="0" applyNumberFormat="1" applyFont="1" applyFill="1" applyBorder="1" applyAlignment="1">
      <alignment vertical="center" wrapText="1"/>
    </xf>
    <xf numFmtId="165" fontId="4" fillId="0" borderId="17" xfId="0" applyNumberFormat="1" applyFont="1" applyBorder="1" applyAlignment="1">
      <alignment horizontal="left" vertical="center" wrapText="1"/>
    </xf>
    <xf numFmtId="165" fontId="4" fillId="0" borderId="36" xfId="0" applyNumberFormat="1" applyFont="1" applyBorder="1" applyAlignment="1">
      <alignment horizontal="left" wrapText="1"/>
    </xf>
    <xf numFmtId="0" fontId="11" fillId="0" borderId="16" xfId="4" applyFont="1" applyFill="1" applyBorder="1" applyAlignment="1">
      <alignment horizontal="left" vertical="center" wrapText="1"/>
    </xf>
    <xf numFmtId="0" fontId="11" fillId="0" borderId="17" xfId="4" applyFont="1" applyFill="1" applyBorder="1" applyAlignment="1">
      <alignment horizontal="left" vertical="center" wrapText="1"/>
    </xf>
    <xf numFmtId="173" fontId="2" fillId="0" borderId="2" xfId="0" applyNumberFormat="1" applyFont="1" applyFill="1" applyBorder="1" applyAlignment="1">
      <alignment vertical="center"/>
    </xf>
    <xf numFmtId="173" fontId="2" fillId="0" borderId="32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73" fontId="2" fillId="0" borderId="17" xfId="0" applyNumberFormat="1" applyFont="1" applyFill="1" applyBorder="1" applyAlignment="1">
      <alignment vertical="center"/>
    </xf>
    <xf numFmtId="173" fontId="32" fillId="0" borderId="2" xfId="2" applyNumberFormat="1" applyFont="1" applyFill="1" applyBorder="1" applyAlignment="1">
      <alignment vertical="center" wrapText="1"/>
    </xf>
    <xf numFmtId="173" fontId="2" fillId="0" borderId="2" xfId="0" applyNumberFormat="1" applyFont="1" applyFill="1" applyBorder="1" applyAlignment="1">
      <alignment vertical="center" wrapText="1"/>
    </xf>
    <xf numFmtId="173" fontId="2" fillId="0" borderId="17" xfId="0" applyNumberFormat="1" applyFont="1" applyFill="1" applyBorder="1" applyAlignment="1">
      <alignment vertical="center" wrapText="1"/>
    </xf>
    <xf numFmtId="173" fontId="2" fillId="0" borderId="8" xfId="0" applyNumberFormat="1" applyFont="1" applyFill="1" applyBorder="1" applyAlignment="1">
      <alignment vertical="center"/>
    </xf>
    <xf numFmtId="173" fontId="2" fillId="0" borderId="25" xfId="0" applyNumberFormat="1" applyFont="1" applyFill="1" applyBorder="1" applyAlignment="1">
      <alignment vertical="center"/>
    </xf>
    <xf numFmtId="173" fontId="2" fillId="0" borderId="20" xfId="4" applyNumberFormat="1" applyFont="1" applyFill="1" applyBorder="1" applyAlignment="1">
      <alignment vertical="center" wrapText="1"/>
    </xf>
    <xf numFmtId="173" fontId="44" fillId="0" borderId="17" xfId="0" applyNumberFormat="1" applyFont="1" applyFill="1" applyBorder="1" applyAlignment="1">
      <alignment vertical="center" wrapText="1"/>
    </xf>
    <xf numFmtId="169" fontId="2" fillId="0" borderId="2" xfId="0" applyNumberFormat="1" applyFont="1" applyFill="1" applyBorder="1" applyAlignment="1">
      <alignment vertical="center"/>
    </xf>
    <xf numFmtId="174" fontId="2" fillId="0" borderId="17" xfId="0" applyNumberFormat="1" applyFont="1" applyFill="1" applyBorder="1" applyAlignment="1">
      <alignment vertical="center"/>
    </xf>
    <xf numFmtId="173" fontId="2" fillId="0" borderId="25" xfId="0" applyNumberFormat="1" applyFont="1" applyFill="1" applyBorder="1" applyAlignment="1">
      <alignment vertical="center" wrapText="1"/>
    </xf>
    <xf numFmtId="169" fontId="2" fillId="0" borderId="17" xfId="0" applyNumberFormat="1" applyFont="1" applyFill="1" applyBorder="1" applyAlignment="1">
      <alignment vertical="center"/>
    </xf>
    <xf numFmtId="186" fontId="5" fillId="0" borderId="20" xfId="0" applyNumberFormat="1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164" fontId="3" fillId="0" borderId="8" xfId="2" applyNumberFormat="1" applyFont="1" applyFill="1" applyBorder="1" applyAlignment="1">
      <alignment horizontal="center" vertical="center" wrapText="1"/>
    </xf>
    <xf numFmtId="165" fontId="11" fillId="0" borderId="8" xfId="2" applyNumberFormat="1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165" fontId="11" fillId="0" borderId="8" xfId="2" applyNumberFormat="1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center" vertical="center" wrapText="1"/>
    </xf>
    <xf numFmtId="164" fontId="25" fillId="0" borderId="8" xfId="3" applyNumberFormat="1" applyFont="1" applyFill="1" applyBorder="1" applyAlignment="1">
      <alignment horizontal="center" vertical="center" wrapText="1"/>
    </xf>
    <xf numFmtId="164" fontId="11" fillId="0" borderId="8" xfId="3" applyNumberFormat="1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165" fontId="2" fillId="0" borderId="32" xfId="0" applyNumberFormat="1" applyFont="1" applyFill="1" applyBorder="1" applyAlignment="1">
      <alignment vertical="center"/>
    </xf>
    <xf numFmtId="165" fontId="2" fillId="0" borderId="20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165" fontId="2" fillId="0" borderId="17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17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_Додаток до довідки !!!" xfId="4"/>
    <cellStyle name="Обычный_Лист1 2" xfId="3"/>
    <cellStyle name="Обычный_Спецфонд" xfId="2"/>
    <cellStyle name="Финансовый" xfId="1" builtinId="3"/>
  </cellStyles>
  <dxfs count="0"/>
  <tableStyles count="0" defaultTableStyle="TableStyleMedium2" defaultPivotStyle="PivotStyleLight16"/>
  <colors>
    <mruColors>
      <color rgb="FFFF3300"/>
      <color rgb="FFFF66FF"/>
      <color rgb="FFCCCC00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07"/>
  <sheetViews>
    <sheetView view="pageBreakPreview" topLeftCell="A127" zoomScale="110" zoomScaleNormal="80" zoomScaleSheetLayoutView="110" workbookViewId="0">
      <selection activeCell="G135" sqref="G135"/>
    </sheetView>
  </sheetViews>
  <sheetFormatPr defaultColWidth="9.33203125" defaultRowHeight="15.6" x14ac:dyDescent="0.25"/>
  <cols>
    <col min="1" max="1" width="9.77734375" style="51" customWidth="1"/>
    <col min="2" max="2" width="11.6640625" style="117" customWidth="1"/>
    <col min="3" max="3" width="12.88671875" style="52" customWidth="1"/>
    <col min="4" max="4" width="36.77734375" style="2" customWidth="1"/>
    <col min="5" max="5" width="14.33203125" style="53" customWidth="1"/>
    <col min="6" max="6" width="13" style="52" customWidth="1"/>
    <col min="7" max="7" width="13" style="117" customWidth="1"/>
    <col min="8" max="8" width="9" style="117" customWidth="1"/>
    <col min="9" max="9" width="38.6640625" style="2" customWidth="1"/>
    <col min="10" max="10" width="11.77734375" style="86" customWidth="1"/>
    <col min="11" max="11" width="10.44140625" style="122" customWidth="1"/>
    <col min="12" max="12" width="9.33203125" style="19"/>
    <col min="13" max="13" width="17.44140625" style="19" bestFit="1" customWidth="1"/>
    <col min="14" max="14" width="18.44140625" style="19" customWidth="1"/>
    <col min="15" max="15" width="16" style="19" customWidth="1"/>
    <col min="16" max="19" width="9.33203125" style="19"/>
    <col min="20" max="16384" width="9.33203125" style="1"/>
  </cols>
  <sheetData>
    <row r="1" spans="1:19" ht="51.75" customHeight="1" thickBot="1" x14ac:dyDescent="0.3">
      <c r="A1" s="280" t="s">
        <v>233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9" s="4" customFormat="1" ht="60.75" customHeight="1" x14ac:dyDescent="0.25">
      <c r="A2" s="281" t="s">
        <v>0</v>
      </c>
      <c r="B2" s="283" t="s">
        <v>1</v>
      </c>
      <c r="C2" s="283"/>
      <c r="D2" s="283" t="s">
        <v>2</v>
      </c>
      <c r="E2" s="285" t="s">
        <v>3</v>
      </c>
      <c r="F2" s="287" t="s">
        <v>4</v>
      </c>
      <c r="G2" s="289" t="s">
        <v>5</v>
      </c>
      <c r="H2" s="290"/>
      <c r="I2" s="290"/>
      <c r="J2" s="291"/>
      <c r="K2" s="292" t="s">
        <v>6</v>
      </c>
      <c r="L2" s="60"/>
      <c r="M2" s="60"/>
      <c r="N2" s="60"/>
      <c r="O2" s="60"/>
      <c r="P2" s="60"/>
      <c r="Q2" s="60"/>
      <c r="R2" s="60"/>
      <c r="S2" s="60"/>
    </row>
    <row r="3" spans="1:19" s="4" customFormat="1" ht="79.8" customHeight="1" thickBot="1" x14ac:dyDescent="0.3">
      <c r="A3" s="282"/>
      <c r="B3" s="133" t="s">
        <v>7</v>
      </c>
      <c r="C3" s="199" t="s">
        <v>8</v>
      </c>
      <c r="D3" s="284"/>
      <c r="E3" s="286"/>
      <c r="F3" s="288"/>
      <c r="G3" s="132" t="s">
        <v>9</v>
      </c>
      <c r="H3" s="134" t="s">
        <v>10</v>
      </c>
      <c r="I3" s="135" t="s">
        <v>11</v>
      </c>
      <c r="J3" s="136" t="s">
        <v>12</v>
      </c>
      <c r="K3" s="293"/>
      <c r="L3" s="60"/>
      <c r="M3" s="60"/>
      <c r="N3" s="60"/>
      <c r="O3" s="60"/>
      <c r="P3" s="60"/>
      <c r="Q3" s="60"/>
      <c r="R3" s="60"/>
      <c r="S3" s="60"/>
    </row>
    <row r="4" spans="1:19" ht="27" customHeight="1" thickBot="1" x14ac:dyDescent="0.3">
      <c r="A4" s="265" t="s">
        <v>234</v>
      </c>
      <c r="B4" s="266"/>
      <c r="C4" s="266"/>
      <c r="D4" s="266"/>
      <c r="E4" s="266"/>
      <c r="F4" s="266"/>
      <c r="G4" s="266"/>
      <c r="H4" s="266"/>
      <c r="I4" s="266"/>
      <c r="J4" s="266"/>
      <c r="K4" s="267"/>
    </row>
    <row r="5" spans="1:19" s="6" customFormat="1" ht="24" customHeight="1" x14ac:dyDescent="0.3">
      <c r="A5" s="261" t="s">
        <v>14</v>
      </c>
      <c r="B5" s="268" t="s">
        <v>15</v>
      </c>
      <c r="C5" s="269"/>
      <c r="D5" s="269"/>
      <c r="E5" s="270"/>
      <c r="F5" s="5" t="e">
        <f>#REF!+F6+F7+F8+F9+F10+F11+F12+F13+F14+F15+F16+F17+F18+F19+F30+F31+F32</f>
        <v>#REF!</v>
      </c>
      <c r="G5" s="271" t="s">
        <v>15</v>
      </c>
      <c r="H5" s="269"/>
      <c r="I5" s="270"/>
      <c r="J5" s="78"/>
      <c r="K5" s="65"/>
      <c r="L5" s="61"/>
      <c r="M5" s="62" t="e">
        <f>F5+F33+#REF!+F89+F103+F106+F110+F114+F174+F177+F182+F187+F189</f>
        <v>#REF!</v>
      </c>
      <c r="N5" s="19"/>
      <c r="O5" s="19"/>
      <c r="P5" s="19"/>
      <c r="Q5" s="19"/>
      <c r="R5" s="19"/>
      <c r="S5" s="61"/>
    </row>
    <row r="6" spans="1:19" ht="27.6" customHeight="1" x14ac:dyDescent="0.25">
      <c r="A6" s="254"/>
      <c r="B6" s="118">
        <v>0</v>
      </c>
      <c r="C6" s="167">
        <v>7.15</v>
      </c>
      <c r="D6" s="201" t="s">
        <v>235</v>
      </c>
      <c r="E6" s="106">
        <v>1</v>
      </c>
      <c r="F6" s="7"/>
      <c r="G6" s="106">
        <v>0</v>
      </c>
      <c r="H6" s="106">
        <v>0</v>
      </c>
      <c r="I6" s="10" t="str">
        <f t="shared" ref="I6:I32" si="0">D6</f>
        <v>Хвіртка Н-ліва цинк/полімер-4мм/4мм1780*1000мм RAL6005</v>
      </c>
      <c r="J6" s="79">
        <f t="shared" ref="J6:J32" si="1">F6</f>
        <v>0</v>
      </c>
      <c r="K6" s="58">
        <f>F6-J6</f>
        <v>0</v>
      </c>
    </row>
    <row r="7" spans="1:19" ht="27.6" customHeight="1" x14ac:dyDescent="0.25">
      <c r="A7" s="254"/>
      <c r="B7" s="118">
        <v>0</v>
      </c>
      <c r="C7" s="7">
        <v>2.16</v>
      </c>
      <c r="D7" s="201" t="s">
        <v>236</v>
      </c>
      <c r="E7" s="106">
        <v>1</v>
      </c>
      <c r="F7" s="7"/>
      <c r="G7" s="106">
        <v>0</v>
      </c>
      <c r="H7" s="106">
        <v>0</v>
      </c>
      <c r="I7" s="10" t="str">
        <f t="shared" si="0"/>
        <v>Дриль ударний BLACK-DECKER BEH550,550Вт матал патрон 13</v>
      </c>
      <c r="J7" s="79">
        <f t="shared" si="1"/>
        <v>0</v>
      </c>
      <c r="K7" s="58">
        <f t="shared" ref="K7:K18" si="2">F7-J7</f>
        <v>0</v>
      </c>
    </row>
    <row r="8" spans="1:19" ht="21" customHeight="1" x14ac:dyDescent="0.25">
      <c r="A8" s="254"/>
      <c r="B8" s="118">
        <v>0</v>
      </c>
      <c r="C8" s="7">
        <v>0.44</v>
      </c>
      <c r="D8" s="201" t="s">
        <v>237</v>
      </c>
      <c r="E8" s="106">
        <v>1</v>
      </c>
      <c r="F8" s="7"/>
      <c r="G8" s="106">
        <v>0</v>
      </c>
      <c r="H8" s="106">
        <v>0</v>
      </c>
      <c r="I8" s="10" t="str">
        <f t="shared" si="0"/>
        <v>Комплект сверл</v>
      </c>
      <c r="J8" s="79">
        <f t="shared" si="1"/>
        <v>0</v>
      </c>
      <c r="K8" s="58">
        <f t="shared" si="2"/>
        <v>0</v>
      </c>
    </row>
    <row r="9" spans="1:19" ht="28.2" customHeight="1" x14ac:dyDescent="0.25">
      <c r="A9" s="254"/>
      <c r="B9" s="118">
        <v>0</v>
      </c>
      <c r="C9" s="7">
        <v>1.32</v>
      </c>
      <c r="D9" s="201" t="s">
        <v>238</v>
      </c>
      <c r="E9" s="106">
        <v>5</v>
      </c>
      <c r="F9" s="7"/>
      <c r="G9" s="106">
        <v>0</v>
      </c>
      <c r="H9" s="106">
        <v>0</v>
      </c>
      <c r="I9" s="10" t="str">
        <f t="shared" si="0"/>
        <v>Змішувач для умивальника VODOLEY 1/2 чрестики хром М844-1</v>
      </c>
      <c r="J9" s="79">
        <f t="shared" si="1"/>
        <v>0</v>
      </c>
      <c r="K9" s="58">
        <f t="shared" si="2"/>
        <v>0</v>
      </c>
    </row>
    <row r="10" spans="1:19" ht="39.6" customHeight="1" x14ac:dyDescent="0.25">
      <c r="A10" s="254"/>
      <c r="B10" s="118">
        <v>0</v>
      </c>
      <c r="C10" s="7">
        <v>3.56</v>
      </c>
      <c r="D10" s="201" t="s">
        <v>239</v>
      </c>
      <c r="E10" s="106">
        <v>4</v>
      </c>
      <c r="F10" s="7"/>
      <c r="G10" s="106">
        <v>0</v>
      </c>
      <c r="H10" s="106">
        <v>0</v>
      </c>
      <c r="I10" s="10" t="str">
        <f t="shared" si="0"/>
        <v xml:space="preserve">Системи огородження ТУ У 25.9-00236010-016:2012 Секція оригінал Н 1.73 L2.5 яч. 200х50х4.0 Zn+ППл RAL6005 </v>
      </c>
      <c r="J10" s="79">
        <v>3.56</v>
      </c>
      <c r="K10" s="58">
        <f t="shared" si="2"/>
        <v>-3.56</v>
      </c>
    </row>
    <row r="11" spans="1:19" ht="43.2" customHeight="1" x14ac:dyDescent="0.25">
      <c r="A11" s="254"/>
      <c r="B11" s="118">
        <v>0</v>
      </c>
      <c r="C11" s="7">
        <v>2.46</v>
      </c>
      <c r="D11" s="201" t="s">
        <v>240</v>
      </c>
      <c r="E11" s="106">
        <v>5</v>
      </c>
      <c r="F11" s="7"/>
      <c r="G11" s="106">
        <v>0</v>
      </c>
      <c r="H11" s="106">
        <v>0</v>
      </c>
      <c r="I11" s="10" t="str">
        <f t="shared" si="0"/>
        <v xml:space="preserve">Системи огородження ТУ У 25.9-00236010-016:2012 Стовп оригінал/стандарт Н2.2 36*56*1,5 Zn+ППл RAL6005 </v>
      </c>
      <c r="J11" s="79">
        <f t="shared" si="1"/>
        <v>0</v>
      </c>
      <c r="K11" s="58">
        <v>8.6</v>
      </c>
    </row>
    <row r="12" spans="1:19" ht="58.8" customHeight="1" x14ac:dyDescent="0.25">
      <c r="A12" s="254"/>
      <c r="B12" s="118">
        <v>0</v>
      </c>
      <c r="C12" s="7">
        <v>0.61</v>
      </c>
      <c r="D12" s="201" t="s">
        <v>241</v>
      </c>
      <c r="E12" s="106">
        <v>30</v>
      </c>
      <c r="F12" s="7"/>
      <c r="G12" s="106">
        <v>0</v>
      </c>
      <c r="H12" s="106">
        <v>0</v>
      </c>
      <c r="I12" s="10" t="str">
        <f t="shared" si="0"/>
        <v xml:space="preserve">Системи огородження ТУ У 25.9-00236010-016:2012 Комплект кріплення оригінал/стандарт Н2.2 38*58 Zn+ППл RAL6005 </v>
      </c>
      <c r="J12" s="79">
        <f t="shared" si="1"/>
        <v>0</v>
      </c>
      <c r="K12" s="58">
        <f t="shared" si="2"/>
        <v>0</v>
      </c>
    </row>
    <row r="13" spans="1:19" ht="22.5" customHeight="1" x14ac:dyDescent="0.25">
      <c r="A13" s="254"/>
      <c r="B13" s="118">
        <v>0</v>
      </c>
      <c r="C13" s="7">
        <v>2.2799999999999998</v>
      </c>
      <c r="D13" s="201" t="s">
        <v>242</v>
      </c>
      <c r="E13" s="106">
        <v>2</v>
      </c>
      <c r="F13" s="7"/>
      <c r="G13" s="106">
        <v>0</v>
      </c>
      <c r="H13" s="106">
        <v>0</v>
      </c>
      <c r="I13" s="10" t="str">
        <f t="shared" si="0"/>
        <v>Урна стационарная2-х опорная малая оц.</v>
      </c>
      <c r="J13" s="79">
        <f t="shared" si="1"/>
        <v>0</v>
      </c>
      <c r="K13" s="58">
        <f t="shared" si="2"/>
        <v>0</v>
      </c>
    </row>
    <row r="14" spans="1:19" ht="21" customHeight="1" x14ac:dyDescent="0.25">
      <c r="A14" s="254"/>
      <c r="B14" s="118">
        <v>0</v>
      </c>
      <c r="C14" s="7">
        <v>0.6</v>
      </c>
      <c r="D14" s="166"/>
      <c r="E14" s="106">
        <v>4</v>
      </c>
      <c r="F14" s="7"/>
      <c r="G14" s="106">
        <v>0</v>
      </c>
      <c r="H14" s="106">
        <v>0</v>
      </c>
      <c r="I14" s="10">
        <f t="shared" si="0"/>
        <v>0</v>
      </c>
      <c r="J14" s="79">
        <f t="shared" si="1"/>
        <v>0</v>
      </c>
      <c r="K14" s="58">
        <f t="shared" si="2"/>
        <v>0</v>
      </c>
    </row>
    <row r="15" spans="1:19" s="19" customFormat="1" ht="22.5" customHeight="1" x14ac:dyDescent="0.25">
      <c r="A15" s="254"/>
      <c r="B15" s="118">
        <v>0</v>
      </c>
      <c r="C15" s="7">
        <v>9.1999999999999993</v>
      </c>
      <c r="D15" s="200" t="s">
        <v>243</v>
      </c>
      <c r="E15" s="106">
        <v>200</v>
      </c>
      <c r="F15" s="173">
        <v>9.1980000000000004</v>
      </c>
      <c r="G15" s="106">
        <v>0</v>
      </c>
      <c r="H15" s="106">
        <v>0</v>
      </c>
      <c r="I15" s="10" t="str">
        <f t="shared" si="0"/>
        <v>Дизельне паливо</v>
      </c>
      <c r="J15" s="79">
        <f t="shared" si="1"/>
        <v>9.1980000000000004</v>
      </c>
      <c r="K15" s="58">
        <v>8.5</v>
      </c>
    </row>
    <row r="16" spans="1:19" s="19" customFormat="1" ht="30" customHeight="1" x14ac:dyDescent="0.25">
      <c r="A16" s="254"/>
      <c r="B16" s="118">
        <v>0</v>
      </c>
      <c r="C16" s="7">
        <v>8.0299999999999994</v>
      </c>
      <c r="D16" s="179" t="s">
        <v>274</v>
      </c>
      <c r="E16" s="106">
        <v>2</v>
      </c>
      <c r="F16" s="173">
        <v>8.0299999999999994</v>
      </c>
      <c r="G16" s="106">
        <v>0</v>
      </c>
      <c r="H16" s="106">
        <v>0</v>
      </c>
      <c r="I16" s="10" t="str">
        <f t="shared" si="0"/>
        <v>Автогума Bridgestone Blizzak Revo GZ 185/60R15 845</v>
      </c>
      <c r="J16" s="79">
        <f t="shared" si="1"/>
        <v>8.0299999999999994</v>
      </c>
      <c r="K16" s="58">
        <f t="shared" si="2"/>
        <v>0</v>
      </c>
    </row>
    <row r="17" spans="1:11" s="19" customFormat="1" ht="31.5" customHeight="1" x14ac:dyDescent="0.25">
      <c r="A17" s="254"/>
      <c r="B17" s="118">
        <v>0</v>
      </c>
      <c r="C17" s="7">
        <v>2.04</v>
      </c>
      <c r="D17" s="179" t="s">
        <v>254</v>
      </c>
      <c r="E17" s="106">
        <v>600</v>
      </c>
      <c r="F17" s="173">
        <v>2.04</v>
      </c>
      <c r="G17" s="106">
        <v>0</v>
      </c>
      <c r="H17" s="106">
        <v>0</v>
      </c>
      <c r="I17" s="10" t="str">
        <f t="shared" si="0"/>
        <v>Видаткова накладна</v>
      </c>
      <c r="J17" s="79">
        <f t="shared" si="1"/>
        <v>2.04</v>
      </c>
      <c r="K17" s="58">
        <v>3.6</v>
      </c>
    </row>
    <row r="18" spans="1:11" s="19" customFormat="1" ht="31.5" customHeight="1" x14ac:dyDescent="0.25">
      <c r="A18" s="254"/>
      <c r="B18" s="118">
        <v>0</v>
      </c>
      <c r="C18" s="7">
        <v>1.72</v>
      </c>
      <c r="D18" s="179" t="s">
        <v>255</v>
      </c>
      <c r="E18" s="106">
        <v>2</v>
      </c>
      <c r="F18" s="173">
        <v>1.7170000000000001</v>
      </c>
      <c r="G18" s="106">
        <v>0</v>
      </c>
      <c r="H18" s="106">
        <v>0</v>
      </c>
      <c r="I18" s="10" t="str">
        <f t="shared" si="0"/>
        <v>LUXEL панель врізна ультратонка LED 600*600мм 220-240V IP20</v>
      </c>
      <c r="J18" s="79">
        <f t="shared" si="1"/>
        <v>1.7170000000000001</v>
      </c>
      <c r="K18" s="58">
        <f t="shared" si="2"/>
        <v>0</v>
      </c>
    </row>
    <row r="19" spans="1:11" s="19" customFormat="1" ht="31.5" customHeight="1" x14ac:dyDescent="0.25">
      <c r="A19" s="254"/>
      <c r="B19" s="118">
        <v>0</v>
      </c>
      <c r="C19" s="7">
        <v>0.3</v>
      </c>
      <c r="D19" s="180" t="s">
        <v>256</v>
      </c>
      <c r="E19" s="106">
        <v>2</v>
      </c>
      <c r="F19" s="173">
        <v>0.3</v>
      </c>
      <c r="G19" s="106">
        <v>0</v>
      </c>
      <c r="H19" s="106">
        <v>0</v>
      </c>
      <c r="I19" s="10" t="str">
        <f t="shared" si="0"/>
        <v>Цемент ТЦ ІІА-В-500Р-Н 25кг</v>
      </c>
      <c r="J19" s="79">
        <f t="shared" si="1"/>
        <v>0.3</v>
      </c>
      <c r="K19" s="58">
        <v>3.8</v>
      </c>
    </row>
    <row r="20" spans="1:11" s="19" customFormat="1" ht="31.5" customHeight="1" x14ac:dyDescent="0.25">
      <c r="A20" s="254"/>
      <c r="B20" s="118">
        <v>0</v>
      </c>
      <c r="C20" s="7">
        <v>0.3</v>
      </c>
      <c r="D20" s="180" t="s">
        <v>286</v>
      </c>
      <c r="E20" s="106">
        <v>2</v>
      </c>
      <c r="F20" s="173">
        <v>0.313</v>
      </c>
      <c r="G20" s="106">
        <v>0</v>
      </c>
      <c r="H20" s="106">
        <v>0</v>
      </c>
      <c r="I20" s="10" t="str">
        <f t="shared" si="0"/>
        <v>MASTER TOOL замазка літол - 24 100г</v>
      </c>
      <c r="J20" s="79">
        <f t="shared" si="1"/>
        <v>0.313</v>
      </c>
      <c r="K20" s="58">
        <v>3.8</v>
      </c>
    </row>
    <row r="21" spans="1:11" s="19" customFormat="1" ht="31.5" customHeight="1" x14ac:dyDescent="0.25">
      <c r="A21" s="254"/>
      <c r="B21" s="118">
        <v>0</v>
      </c>
      <c r="C21" s="7">
        <v>0.3</v>
      </c>
      <c r="D21" s="180" t="s">
        <v>287</v>
      </c>
      <c r="E21" s="106">
        <v>2</v>
      </c>
      <c r="F21" s="173">
        <v>0.16200000000000001</v>
      </c>
      <c r="G21" s="106">
        <v>0</v>
      </c>
      <c r="H21" s="106">
        <v>0</v>
      </c>
      <c r="I21" s="10" t="str">
        <f t="shared" si="0"/>
        <v>MASTER TOOL Ліска для тримера3,00млх15м "кручений квадрат"</v>
      </c>
      <c r="J21" s="79">
        <f t="shared" si="1"/>
        <v>0.16200000000000001</v>
      </c>
      <c r="K21" s="58">
        <v>3.8</v>
      </c>
    </row>
    <row r="22" spans="1:11" s="19" customFormat="1" ht="31.5" customHeight="1" x14ac:dyDescent="0.25">
      <c r="A22" s="254"/>
      <c r="B22" s="118">
        <v>0</v>
      </c>
      <c r="C22" s="7">
        <v>0.3</v>
      </c>
      <c r="D22" s="180" t="s">
        <v>288</v>
      </c>
      <c r="E22" s="106">
        <v>2</v>
      </c>
      <c r="F22" s="173">
        <v>0.80900000000000005</v>
      </c>
      <c r="G22" s="106">
        <v>0</v>
      </c>
      <c r="H22" s="106">
        <v>0</v>
      </c>
      <c r="I22" s="10" t="str">
        <f t="shared" si="0"/>
        <v>Зебра Емаль ПФ-115 "Народний МАЙСТЕР" 2,8кг 538 зелений мох</v>
      </c>
      <c r="J22" s="79">
        <f t="shared" si="1"/>
        <v>0.80900000000000005</v>
      </c>
      <c r="K22" s="58">
        <v>3.8</v>
      </c>
    </row>
    <row r="23" spans="1:11" s="19" customFormat="1" ht="30.6" customHeight="1" x14ac:dyDescent="0.25">
      <c r="A23" s="254"/>
      <c r="B23" s="118">
        <v>0</v>
      </c>
      <c r="C23" s="7">
        <v>0.3</v>
      </c>
      <c r="D23" s="180" t="s">
        <v>289</v>
      </c>
      <c r="E23" s="106">
        <v>1</v>
      </c>
      <c r="F23" s="173">
        <v>0.157</v>
      </c>
      <c r="G23" s="106">
        <v>0</v>
      </c>
      <c r="H23" s="106">
        <v>0</v>
      </c>
      <c r="I23" s="10" t="str">
        <f t="shared" si="0"/>
        <v>Зебра Емаль ПФ-115 "Народний МАЙСТЕР" 0,9кг 575 червона калина</v>
      </c>
      <c r="J23" s="79">
        <f t="shared" si="1"/>
        <v>0.157</v>
      </c>
      <c r="K23" s="58">
        <v>3.8</v>
      </c>
    </row>
    <row r="24" spans="1:11" s="19" customFormat="1" ht="31.5" customHeight="1" x14ac:dyDescent="0.25">
      <c r="A24" s="254"/>
      <c r="B24" s="118">
        <v>0</v>
      </c>
      <c r="C24" s="7">
        <v>0.3</v>
      </c>
      <c r="D24" s="180" t="s">
        <v>292</v>
      </c>
      <c r="E24" s="106">
        <v>4</v>
      </c>
      <c r="F24" s="173">
        <v>2.1720000000000002</v>
      </c>
      <c r="G24" s="106">
        <v>0</v>
      </c>
      <c r="H24" s="106">
        <v>0</v>
      </c>
      <c r="I24" s="10" t="str">
        <f t="shared" si="0"/>
        <v>CЕRЕSIT клей для плитки СМ177 25кг</v>
      </c>
      <c r="J24" s="79">
        <f t="shared" si="1"/>
        <v>2.1720000000000002</v>
      </c>
      <c r="K24" s="58">
        <v>3.8</v>
      </c>
    </row>
    <row r="25" spans="1:11" s="19" customFormat="1" ht="31.5" customHeight="1" x14ac:dyDescent="0.25">
      <c r="A25" s="254"/>
      <c r="B25" s="118">
        <v>0</v>
      </c>
      <c r="C25" s="7">
        <v>0.3</v>
      </c>
      <c r="D25" s="180" t="s">
        <v>290</v>
      </c>
      <c r="E25" s="106">
        <v>3</v>
      </c>
      <c r="F25" s="173">
        <v>2.97</v>
      </c>
      <c r="G25" s="106">
        <v>0</v>
      </c>
      <c r="H25" s="106">
        <v>0</v>
      </c>
      <c r="I25" s="10" t="str">
        <f t="shared" si="0"/>
        <v>31BEMI 203 оповіщувач звуковий</v>
      </c>
      <c r="J25" s="79">
        <f t="shared" si="1"/>
        <v>2.97</v>
      </c>
      <c r="K25" s="58">
        <v>3.8</v>
      </c>
    </row>
    <row r="26" spans="1:11" s="19" customFormat="1" ht="31.5" customHeight="1" x14ac:dyDescent="0.25">
      <c r="A26" s="254"/>
      <c r="B26" s="118">
        <v>0</v>
      </c>
      <c r="C26" s="7">
        <v>0.3</v>
      </c>
      <c r="D26" s="180" t="s">
        <v>291</v>
      </c>
      <c r="E26" s="106">
        <v>3</v>
      </c>
      <c r="F26" s="173">
        <v>1.746</v>
      </c>
      <c r="G26" s="106">
        <v>0</v>
      </c>
      <c r="H26" s="106">
        <v>0</v>
      </c>
      <c r="I26" s="10" t="str">
        <f t="shared" si="0"/>
        <v>ОС 12У/5А (МРМ-АО12У5А блок живлення</v>
      </c>
      <c r="J26" s="79">
        <f t="shared" si="1"/>
        <v>1.746</v>
      </c>
      <c r="K26" s="58">
        <v>3.8</v>
      </c>
    </row>
    <row r="27" spans="1:11" s="19" customFormat="1" ht="31.5" customHeight="1" x14ac:dyDescent="0.25">
      <c r="A27" s="254"/>
      <c r="B27" s="118">
        <v>0</v>
      </c>
      <c r="C27" s="7">
        <v>0.3</v>
      </c>
      <c r="D27" s="180" t="s">
        <v>293</v>
      </c>
      <c r="E27" s="106">
        <v>80</v>
      </c>
      <c r="F27" s="173">
        <v>0.92</v>
      </c>
      <c r="G27" s="106">
        <v>0</v>
      </c>
      <c r="H27" s="106">
        <v>0</v>
      </c>
      <c r="I27" s="10" t="str">
        <f t="shared" si="0"/>
        <v>Провод ШВВП  12*0,75 кабель живлення м.</v>
      </c>
      <c r="J27" s="79">
        <f t="shared" si="1"/>
        <v>0.92</v>
      </c>
      <c r="K27" s="58">
        <v>3.8</v>
      </c>
    </row>
    <row r="28" spans="1:11" s="19" customFormat="1" ht="31.5" customHeight="1" x14ac:dyDescent="0.25">
      <c r="A28" s="254"/>
      <c r="B28" s="118">
        <v>0</v>
      </c>
      <c r="C28" s="7">
        <v>0.3</v>
      </c>
      <c r="D28" s="180" t="s">
        <v>294</v>
      </c>
      <c r="E28" s="106">
        <v>3</v>
      </c>
      <c r="F28" s="173">
        <v>0.153</v>
      </c>
      <c r="G28" s="106">
        <v>0</v>
      </c>
      <c r="H28" s="106">
        <v>0</v>
      </c>
      <c r="I28" s="10" t="str">
        <f t="shared" si="0"/>
        <v>Зажим для провода "универсал-2"</v>
      </c>
      <c r="J28" s="79">
        <f t="shared" si="1"/>
        <v>0.153</v>
      </c>
      <c r="K28" s="58">
        <v>3.8</v>
      </c>
    </row>
    <row r="29" spans="1:11" s="19" customFormat="1" ht="31.5" customHeight="1" x14ac:dyDescent="0.25">
      <c r="A29" s="254"/>
      <c r="B29" s="118">
        <v>0</v>
      </c>
      <c r="C29" s="7">
        <v>10.79</v>
      </c>
      <c r="D29" s="181" t="s">
        <v>232</v>
      </c>
      <c r="E29" s="106">
        <v>200</v>
      </c>
      <c r="F29" s="173">
        <v>10.788</v>
      </c>
      <c r="G29" s="106">
        <v>0</v>
      </c>
      <c r="H29" s="106">
        <v>0</v>
      </c>
      <c r="I29" s="10" t="str">
        <f t="shared" si="0"/>
        <v>Бензин А-95 (в толонах)</v>
      </c>
      <c r="J29" s="79">
        <f t="shared" si="1"/>
        <v>10.788</v>
      </c>
      <c r="K29" s="58">
        <f t="shared" ref="K29:K32" si="3">F29-J29</f>
        <v>0</v>
      </c>
    </row>
    <row r="30" spans="1:11" s="19" customFormat="1" ht="31.5" customHeight="1" x14ac:dyDescent="0.25">
      <c r="A30" s="254"/>
      <c r="B30" s="118">
        <v>0</v>
      </c>
      <c r="C30" s="7">
        <v>10.79</v>
      </c>
      <c r="D30" s="181" t="s">
        <v>304</v>
      </c>
      <c r="E30" s="106">
        <v>1</v>
      </c>
      <c r="F30" s="173">
        <v>8.9060000000000006</v>
      </c>
      <c r="G30" s="106">
        <v>0</v>
      </c>
      <c r="H30" s="106">
        <v>0</v>
      </c>
      <c r="I30" s="10" t="str">
        <f t="shared" si="0"/>
        <v xml:space="preserve">Огородження </v>
      </c>
      <c r="J30" s="79">
        <f t="shared" si="1"/>
        <v>8.9060000000000006</v>
      </c>
      <c r="K30" s="58">
        <f t="shared" si="3"/>
        <v>0</v>
      </c>
    </row>
    <row r="31" spans="1:11" s="19" customFormat="1" ht="31.5" customHeight="1" x14ac:dyDescent="0.25">
      <c r="A31" s="254"/>
      <c r="B31" s="118">
        <v>0</v>
      </c>
      <c r="C31" s="7">
        <v>10.79</v>
      </c>
      <c r="D31" s="181" t="s">
        <v>305</v>
      </c>
      <c r="E31" s="106">
        <v>4</v>
      </c>
      <c r="F31" s="173">
        <v>0.6</v>
      </c>
      <c r="G31" s="106">
        <v>0</v>
      </c>
      <c r="H31" s="106">
        <v>0</v>
      </c>
      <c r="I31" s="10" t="str">
        <f t="shared" si="0"/>
        <v>Цемент</v>
      </c>
      <c r="J31" s="79">
        <f t="shared" si="1"/>
        <v>0.6</v>
      </c>
      <c r="K31" s="58">
        <f t="shared" si="3"/>
        <v>0</v>
      </c>
    </row>
    <row r="32" spans="1:11" s="19" customFormat="1" ht="31.5" customHeight="1" thickBot="1" x14ac:dyDescent="0.3">
      <c r="A32" s="254"/>
      <c r="B32" s="118">
        <v>0</v>
      </c>
      <c r="C32" s="7">
        <v>10.79</v>
      </c>
      <c r="D32" s="181" t="s">
        <v>306</v>
      </c>
      <c r="E32" s="106">
        <v>1</v>
      </c>
      <c r="F32" s="173">
        <v>11.073</v>
      </c>
      <c r="G32" s="106">
        <v>0</v>
      </c>
      <c r="H32" s="106">
        <v>0</v>
      </c>
      <c r="I32" s="10" t="str">
        <f t="shared" si="0"/>
        <v>Будівельні матеріали та прилади</v>
      </c>
      <c r="J32" s="79">
        <f t="shared" si="1"/>
        <v>11.073</v>
      </c>
      <c r="K32" s="58">
        <f t="shared" si="3"/>
        <v>0</v>
      </c>
    </row>
    <row r="33" spans="1:19" s="6" customFormat="1" ht="44.25" customHeight="1" x14ac:dyDescent="0.3">
      <c r="A33" s="261" t="s">
        <v>216</v>
      </c>
      <c r="B33" s="272" t="s">
        <v>76</v>
      </c>
      <c r="C33" s="273"/>
      <c r="D33" s="273"/>
      <c r="E33" s="274"/>
      <c r="F33" s="16">
        <f>F34+F41+F50+F55+F58+F64+F67+F70+F73+F79+F81+F84</f>
        <v>307.32755999999995</v>
      </c>
      <c r="G33" s="275" t="s">
        <v>76</v>
      </c>
      <c r="H33" s="273"/>
      <c r="I33" s="274"/>
      <c r="J33" s="80">
        <f>J34+J41+J58+J64+J67+J70+J73+J79+J81+J84+J50</f>
        <v>175.68178</v>
      </c>
      <c r="K33" s="56">
        <f>K34+K41+K58+K64+K67+K70+K73+K79+K81+K84+K50</f>
        <v>92.42895</v>
      </c>
      <c r="L33" s="61"/>
      <c r="M33" s="61"/>
      <c r="N33" s="19"/>
      <c r="O33" s="19"/>
      <c r="P33" s="19"/>
      <c r="Q33" s="19"/>
      <c r="R33" s="19"/>
      <c r="S33" s="61"/>
    </row>
    <row r="34" spans="1:19" ht="35.25" customHeight="1" x14ac:dyDescent="0.25">
      <c r="A34" s="254"/>
      <c r="B34" s="264" t="s">
        <v>77</v>
      </c>
      <c r="C34" s="253"/>
      <c r="D34" s="253"/>
      <c r="E34" s="253"/>
      <c r="F34" s="202">
        <f>F35+F36+F37+F38+F39+F40</f>
        <v>30.257000000000001</v>
      </c>
      <c r="G34" s="253" t="s">
        <v>77</v>
      </c>
      <c r="H34" s="253"/>
      <c r="I34" s="253"/>
      <c r="J34" s="137">
        <f>J35+J36+J37+J38+J40</f>
        <v>26.650000000000002</v>
      </c>
      <c r="K34" s="55">
        <f>SUM(K35:K40)</f>
        <v>1.1299999999999999</v>
      </c>
    </row>
    <row r="35" spans="1:19" ht="32.25" customHeight="1" x14ac:dyDescent="0.25">
      <c r="A35" s="254"/>
      <c r="B35" s="118">
        <v>0</v>
      </c>
      <c r="C35" s="7">
        <v>1.27</v>
      </c>
      <c r="D35" s="184" t="s">
        <v>78</v>
      </c>
      <c r="E35" s="108">
        <v>0.2</v>
      </c>
      <c r="F35" s="173">
        <v>1.272</v>
      </c>
      <c r="G35" s="106">
        <v>0</v>
      </c>
      <c r="H35" s="106">
        <v>0</v>
      </c>
      <c r="I35" s="10" t="str">
        <f t="shared" ref="I35:I40" si="4">D35</f>
        <v>Середовище культуральне Flushing Medium 5x60ml, паков</v>
      </c>
      <c r="J35" s="79">
        <f>F35-K35</f>
        <v>1.272</v>
      </c>
      <c r="K35" s="55">
        <v>0</v>
      </c>
    </row>
    <row r="36" spans="1:19" ht="43.8" customHeight="1" x14ac:dyDescent="0.25">
      <c r="A36" s="254"/>
      <c r="B36" s="118">
        <v>0</v>
      </c>
      <c r="C36" s="7">
        <v>1.27</v>
      </c>
      <c r="D36" s="177" t="s">
        <v>80</v>
      </c>
      <c r="E36" s="108">
        <v>1</v>
      </c>
      <c r="F36" s="173">
        <v>3.3029999999999999</v>
      </c>
      <c r="G36" s="106">
        <v>0</v>
      </c>
      <c r="H36" s="106">
        <v>0</v>
      </c>
      <c r="I36" s="10" t="str">
        <f t="shared" si="4"/>
        <v>Середовище культуральне UTM Transfer Medium, with phenol red 10 ml, паков</v>
      </c>
      <c r="J36" s="79">
        <f>F36-K36</f>
        <v>2.173</v>
      </c>
      <c r="K36" s="55">
        <v>1.1299999999999999</v>
      </c>
    </row>
    <row r="37" spans="1:19" ht="32.25" customHeight="1" x14ac:dyDescent="0.25">
      <c r="A37" s="254"/>
      <c r="B37" s="118">
        <v>0</v>
      </c>
      <c r="C37" s="7">
        <v>3.3</v>
      </c>
      <c r="D37" s="168" t="s">
        <v>245</v>
      </c>
      <c r="E37" s="108">
        <v>1</v>
      </c>
      <c r="F37" s="173"/>
      <c r="G37" s="106">
        <v>0</v>
      </c>
      <c r="H37" s="106">
        <v>0</v>
      </c>
      <c r="I37" s="10" t="str">
        <f t="shared" si="4"/>
        <v>Середовище культуральне UTM Transfer Medium 10 ml</v>
      </c>
      <c r="J37" s="79">
        <f t="shared" ref="J37:J40" si="5">F37-K37</f>
        <v>0</v>
      </c>
      <c r="K37" s="55">
        <v>0</v>
      </c>
    </row>
    <row r="38" spans="1:19" ht="32.25" customHeight="1" x14ac:dyDescent="0.25">
      <c r="A38" s="254"/>
      <c r="B38" s="118">
        <v>0</v>
      </c>
      <c r="C38" s="7">
        <v>16.61</v>
      </c>
      <c r="D38" s="184" t="s">
        <v>244</v>
      </c>
      <c r="E38" s="108">
        <v>1</v>
      </c>
      <c r="F38" s="191">
        <v>16.611000000000001</v>
      </c>
      <c r="G38" s="106">
        <v>0</v>
      </c>
      <c r="H38" s="106">
        <v>0</v>
      </c>
      <c r="I38" s="10" t="str">
        <f t="shared" si="4"/>
        <v>Середовище культуральне ORIGIO SpermWash 5x60 ml</v>
      </c>
      <c r="J38" s="79">
        <f t="shared" si="5"/>
        <v>16.611000000000001</v>
      </c>
      <c r="K38" s="55">
        <v>0</v>
      </c>
    </row>
    <row r="39" spans="1:19" ht="32.25" customHeight="1" x14ac:dyDescent="0.25">
      <c r="A39" s="254"/>
      <c r="B39" s="118"/>
      <c r="C39" s="7">
        <v>2.48</v>
      </c>
      <c r="D39" s="184" t="s">
        <v>307</v>
      </c>
      <c r="E39" s="108">
        <v>2</v>
      </c>
      <c r="F39" s="173">
        <v>2.4769999999999999</v>
      </c>
      <c r="G39" s="106"/>
      <c r="H39" s="106"/>
      <c r="I39" s="10" t="str">
        <f t="shared" si="4"/>
        <v>Середовище культуральне ORIGIO Seguential Fert™ 10ml паков</v>
      </c>
      <c r="J39" s="79">
        <f t="shared" si="5"/>
        <v>2.4769999999999999</v>
      </c>
      <c r="K39" s="55"/>
    </row>
    <row r="40" spans="1:19" ht="32.25" customHeight="1" x14ac:dyDescent="0.25">
      <c r="A40" s="254"/>
      <c r="B40" s="118">
        <v>0</v>
      </c>
      <c r="C40" s="7">
        <v>6.59</v>
      </c>
      <c r="D40" s="184" t="s">
        <v>246</v>
      </c>
      <c r="E40" s="108">
        <v>3</v>
      </c>
      <c r="F40" s="173">
        <v>6.5940000000000003</v>
      </c>
      <c r="G40" s="106">
        <v>0</v>
      </c>
      <c r="H40" s="106">
        <v>0</v>
      </c>
      <c r="I40" s="10" t="str">
        <f t="shared" si="4"/>
        <v>Середовище культуральне SAGE 1-Step™ with Human Serum Albumin 10 ml</v>
      </c>
      <c r="J40" s="79">
        <f t="shared" si="5"/>
        <v>6.5940000000000003</v>
      </c>
      <c r="K40" s="55">
        <v>0</v>
      </c>
    </row>
    <row r="41" spans="1:19" ht="41.25" customHeight="1" x14ac:dyDescent="0.25">
      <c r="A41" s="254"/>
      <c r="B41" s="264" t="s">
        <v>77</v>
      </c>
      <c r="C41" s="253"/>
      <c r="D41" s="253"/>
      <c r="E41" s="253"/>
      <c r="F41" s="32">
        <f>F42+F43+F44+F45+F46+F47+F49</f>
        <v>38.905000000000001</v>
      </c>
      <c r="G41" s="253" t="s">
        <v>77</v>
      </c>
      <c r="H41" s="253"/>
      <c r="I41" s="253"/>
      <c r="J41" s="137"/>
      <c r="K41" s="55">
        <f>SUM(K42:K49)</f>
        <v>24.8</v>
      </c>
    </row>
    <row r="42" spans="1:19" s="18" customFormat="1" ht="45.6" customHeight="1" x14ac:dyDescent="0.25">
      <c r="A42" s="254"/>
      <c r="B42" s="118">
        <v>0</v>
      </c>
      <c r="C42" s="7">
        <v>6.59</v>
      </c>
      <c r="D42" s="193" t="s">
        <v>82</v>
      </c>
      <c r="E42" s="108">
        <v>3</v>
      </c>
      <c r="F42" s="173">
        <v>6.4720000000000004</v>
      </c>
      <c r="G42" s="106">
        <v>0</v>
      </c>
      <c r="H42" s="106">
        <v>0</v>
      </c>
      <c r="I42" s="10" t="str">
        <f t="shared" ref="I42:I49" si="6">D42</f>
        <v>Середовище культуральне SAGE 1-Step™ with Human Serum Albumin 10 ml, паков</v>
      </c>
      <c r="J42" s="79">
        <f t="shared" ref="J42:J45" si="7">F42-K42</f>
        <v>6.4720000000000004</v>
      </c>
      <c r="K42" s="55">
        <v>0</v>
      </c>
      <c r="L42" s="19"/>
      <c r="M42" s="19"/>
      <c r="N42" s="19"/>
      <c r="O42" s="19"/>
      <c r="P42" s="19"/>
      <c r="Q42" s="19"/>
      <c r="R42" s="19"/>
      <c r="S42" s="19"/>
    </row>
    <row r="43" spans="1:19" s="18" customFormat="1" ht="36.75" customHeight="1" x14ac:dyDescent="0.25">
      <c r="A43" s="254"/>
      <c r="B43" s="118">
        <v>0</v>
      </c>
      <c r="C43" s="7">
        <v>2.48</v>
      </c>
      <c r="D43" s="177" t="s">
        <v>81</v>
      </c>
      <c r="E43" s="108">
        <v>2</v>
      </c>
      <c r="F43" s="173">
        <v>2.4300000000000002</v>
      </c>
      <c r="G43" s="106">
        <v>0</v>
      </c>
      <c r="H43" s="106">
        <v>0</v>
      </c>
      <c r="I43" s="10" t="str">
        <f t="shared" si="6"/>
        <v>Середовище культуральне ORIGIO Sequential Fert, 10 ml, паков</v>
      </c>
      <c r="J43" s="79">
        <f t="shared" si="7"/>
        <v>2.4300000000000002</v>
      </c>
      <c r="K43" s="55">
        <v>0</v>
      </c>
      <c r="L43" s="19"/>
      <c r="M43" s="19"/>
      <c r="N43" s="19"/>
      <c r="O43" s="19"/>
      <c r="P43" s="19"/>
      <c r="Q43" s="19"/>
      <c r="R43" s="19"/>
      <c r="S43" s="19"/>
    </row>
    <row r="44" spans="1:19" s="18" customFormat="1" ht="44.4" customHeight="1" x14ac:dyDescent="0.25">
      <c r="A44" s="254"/>
      <c r="B44" s="118">
        <v>0</v>
      </c>
      <c r="C44" s="7">
        <v>3.3</v>
      </c>
      <c r="D44" s="177" t="s">
        <v>80</v>
      </c>
      <c r="E44" s="108">
        <v>1</v>
      </c>
      <c r="F44" s="173">
        <v>3.242</v>
      </c>
      <c r="G44" s="106">
        <v>0</v>
      </c>
      <c r="H44" s="106">
        <v>0</v>
      </c>
      <c r="I44" s="10" t="str">
        <f t="shared" si="6"/>
        <v>Середовище культуральне UTM Transfer Medium, with phenol red 10 ml, паков</v>
      </c>
      <c r="J44" s="79">
        <f t="shared" si="7"/>
        <v>3.242</v>
      </c>
      <c r="K44" s="55">
        <v>0</v>
      </c>
      <c r="L44" s="19"/>
      <c r="M44" s="19"/>
      <c r="N44" s="19"/>
      <c r="O44" s="19"/>
      <c r="P44" s="19"/>
      <c r="Q44" s="19"/>
      <c r="R44" s="19"/>
      <c r="S44" s="19"/>
    </row>
    <row r="45" spans="1:19" s="18" customFormat="1" ht="36.75" customHeight="1" x14ac:dyDescent="0.25">
      <c r="A45" s="254"/>
      <c r="B45" s="118">
        <v>0</v>
      </c>
      <c r="C45" s="7">
        <v>1.27</v>
      </c>
      <c r="D45" s="174" t="s">
        <v>78</v>
      </c>
      <c r="E45" s="108">
        <v>0.4</v>
      </c>
      <c r="F45" s="173">
        <v>2.4969999999999999</v>
      </c>
      <c r="G45" s="106">
        <v>0</v>
      </c>
      <c r="H45" s="106">
        <v>0</v>
      </c>
      <c r="I45" s="10" t="str">
        <f t="shared" si="6"/>
        <v>Середовище культуральне Flushing Medium 5x60ml, паков</v>
      </c>
      <c r="J45" s="79">
        <f t="shared" si="7"/>
        <v>2.4969999999999999</v>
      </c>
      <c r="K45" s="55">
        <v>0</v>
      </c>
      <c r="L45" s="19"/>
      <c r="M45" s="19"/>
      <c r="N45" s="19"/>
      <c r="O45" s="19"/>
      <c r="P45" s="19"/>
      <c r="Q45" s="19"/>
      <c r="R45" s="19"/>
      <c r="S45" s="19"/>
    </row>
    <row r="46" spans="1:19" s="18" customFormat="1" ht="36.75" customHeight="1" x14ac:dyDescent="0.25">
      <c r="A46" s="254"/>
      <c r="B46" s="118">
        <v>0</v>
      </c>
      <c r="C46" s="7">
        <v>16.61</v>
      </c>
      <c r="D46" s="169" t="s">
        <v>248</v>
      </c>
      <c r="E46" s="108">
        <v>1</v>
      </c>
      <c r="F46" s="7">
        <v>16.61</v>
      </c>
      <c r="G46" s="106">
        <v>0</v>
      </c>
      <c r="H46" s="106">
        <v>0</v>
      </c>
      <c r="I46" s="10" t="str">
        <f t="shared" si="6"/>
        <v>Середовіще культуральне ORIGIO Sperm Wash 5*60ml, паков</v>
      </c>
      <c r="J46" s="79">
        <v>16.61</v>
      </c>
      <c r="K46" s="55">
        <v>5.2</v>
      </c>
      <c r="L46" s="19"/>
      <c r="M46" s="19"/>
      <c r="N46" s="19"/>
      <c r="O46" s="19"/>
      <c r="P46" s="19"/>
      <c r="Q46" s="19"/>
      <c r="R46" s="19"/>
      <c r="S46" s="19"/>
    </row>
    <row r="47" spans="1:19" s="18" customFormat="1" ht="49.5" customHeight="1" x14ac:dyDescent="0.25">
      <c r="A47" s="254"/>
      <c r="B47" s="118"/>
      <c r="C47" s="7">
        <v>16.61</v>
      </c>
      <c r="D47" s="184" t="s">
        <v>79</v>
      </c>
      <c r="E47" s="108">
        <v>0.2</v>
      </c>
      <c r="F47" s="173">
        <v>1.9590000000000001</v>
      </c>
      <c r="G47" s="106">
        <v>0</v>
      </c>
      <c r="H47" s="106">
        <v>0</v>
      </c>
      <c r="I47" s="10" t="str">
        <f t="shared" si="6"/>
        <v>Середовище культуральне ICSI Cumulase 5x0,5ml, паков</v>
      </c>
      <c r="J47" s="79">
        <v>16.61</v>
      </c>
      <c r="K47" s="55">
        <v>5.2</v>
      </c>
      <c r="L47" s="19"/>
      <c r="M47" s="19"/>
      <c r="N47" s="19"/>
      <c r="O47" s="19"/>
      <c r="P47" s="19"/>
      <c r="Q47" s="19"/>
      <c r="R47" s="19"/>
      <c r="S47" s="19"/>
    </row>
    <row r="48" spans="1:19" s="18" customFormat="1" ht="49.5" customHeight="1" x14ac:dyDescent="0.25">
      <c r="A48" s="254"/>
      <c r="B48" s="118">
        <v>0</v>
      </c>
      <c r="C48" s="173">
        <v>5.0000000000000001E-3</v>
      </c>
      <c r="D48" s="177" t="s">
        <v>87</v>
      </c>
      <c r="E48" s="106">
        <v>1</v>
      </c>
      <c r="F48" s="173">
        <v>18.984999999999999</v>
      </c>
      <c r="G48" s="106">
        <v>0</v>
      </c>
      <c r="H48" s="106">
        <v>0</v>
      </c>
      <c r="I48" s="10" t="str">
        <f t="shared" si="6"/>
        <v>Середовища культуральні PureCeption 24-Determination By-Layer Kit 12 x 12 ml, паков</v>
      </c>
      <c r="J48" s="79">
        <f t="shared" ref="J48:J49" si="8">F48</f>
        <v>18.984999999999999</v>
      </c>
      <c r="K48" s="58">
        <v>14.4</v>
      </c>
      <c r="L48" s="19"/>
      <c r="M48" s="19"/>
      <c r="N48" s="19"/>
      <c r="O48" s="19"/>
      <c r="P48" s="19"/>
      <c r="Q48" s="19"/>
      <c r="R48" s="19"/>
      <c r="S48" s="19"/>
    </row>
    <row r="49" spans="1:19" s="18" customFormat="1" ht="36.75" customHeight="1" x14ac:dyDescent="0.25">
      <c r="A49" s="254"/>
      <c r="B49" s="118">
        <v>0</v>
      </c>
      <c r="C49" s="7">
        <v>0.01</v>
      </c>
      <c r="D49" s="171" t="s">
        <v>295</v>
      </c>
      <c r="E49" s="106">
        <v>1</v>
      </c>
      <c r="F49" s="173">
        <v>5.6950000000000003</v>
      </c>
      <c r="G49" s="106">
        <v>0</v>
      </c>
      <c r="H49" s="106">
        <v>0</v>
      </c>
      <c r="I49" s="10" t="str">
        <f t="shared" si="6"/>
        <v>STRIPPER® наконечник 1000µm, (20шт/уп) паков</v>
      </c>
      <c r="J49" s="79">
        <f t="shared" si="8"/>
        <v>5.6950000000000003</v>
      </c>
      <c r="K49" s="58">
        <f t="shared" ref="K49" si="9">F49-J49</f>
        <v>0</v>
      </c>
      <c r="L49" s="19"/>
      <c r="M49" s="19"/>
      <c r="N49" s="19"/>
      <c r="O49" s="19"/>
      <c r="P49" s="19"/>
      <c r="Q49" s="19"/>
      <c r="R49" s="19"/>
      <c r="S49" s="19"/>
    </row>
    <row r="50" spans="1:19" s="19" customFormat="1" ht="39" customHeight="1" x14ac:dyDescent="0.25">
      <c r="A50" s="254"/>
      <c r="B50" s="276" t="s">
        <v>77</v>
      </c>
      <c r="C50" s="277"/>
      <c r="D50" s="277"/>
      <c r="E50" s="278"/>
      <c r="F50" s="32">
        <f>F51+F52+F53+F54</f>
        <v>20.981000000000002</v>
      </c>
      <c r="G50" s="279" t="s">
        <v>77</v>
      </c>
      <c r="H50" s="277"/>
      <c r="I50" s="278"/>
      <c r="J50" s="137"/>
      <c r="K50" s="55">
        <f>SUM(K51:K57)</f>
        <v>28.042660000000001</v>
      </c>
    </row>
    <row r="51" spans="1:19" s="19" customFormat="1" ht="46.5" customHeight="1" x14ac:dyDescent="0.25">
      <c r="A51" s="254"/>
      <c r="B51" s="118">
        <v>0</v>
      </c>
      <c r="C51" s="7">
        <f>F50:F51</f>
        <v>3.1859999999999999</v>
      </c>
      <c r="D51" s="177" t="s">
        <v>80</v>
      </c>
      <c r="E51" s="109">
        <v>1</v>
      </c>
      <c r="F51" s="173">
        <v>3.1859999999999999</v>
      </c>
      <c r="G51" s="106">
        <v>0</v>
      </c>
      <c r="H51" s="106">
        <v>0</v>
      </c>
      <c r="I51" s="10" t="str">
        <f t="shared" ref="I51:I57" si="10">D51</f>
        <v>Середовище культуральне UTM Transfer Medium, with phenol red 10 ml, паков</v>
      </c>
      <c r="J51" s="79">
        <f t="shared" ref="J51:J56" si="11">F51-K51</f>
        <v>3.1859999999999999</v>
      </c>
      <c r="K51" s="55"/>
    </row>
    <row r="52" spans="1:19" s="19" customFormat="1" ht="37.5" customHeight="1" x14ac:dyDescent="0.25">
      <c r="A52" s="254"/>
      <c r="B52" s="118">
        <v>0</v>
      </c>
      <c r="C52" s="7">
        <f t="shared" ref="C52:C57" si="12">F51:F52</f>
        <v>1.226</v>
      </c>
      <c r="D52" s="174" t="s">
        <v>78</v>
      </c>
      <c r="E52" s="109">
        <v>0.2</v>
      </c>
      <c r="F52" s="173">
        <v>1.226</v>
      </c>
      <c r="G52" s="106">
        <v>0</v>
      </c>
      <c r="H52" s="106">
        <v>0</v>
      </c>
      <c r="I52" s="10" t="str">
        <f t="shared" si="10"/>
        <v>Середовище культуральне Flushing Medium 5x60ml, паков</v>
      </c>
      <c r="J52" s="79">
        <f t="shared" si="11"/>
        <v>1.226</v>
      </c>
      <c r="K52" s="55"/>
    </row>
    <row r="53" spans="1:19" s="19" customFormat="1" ht="37.5" customHeight="1" x14ac:dyDescent="0.25">
      <c r="A53" s="254"/>
      <c r="B53" s="118">
        <v>0</v>
      </c>
      <c r="C53" s="7">
        <v>5.97</v>
      </c>
      <c r="D53" s="174" t="s">
        <v>81</v>
      </c>
      <c r="E53" s="109">
        <v>5</v>
      </c>
      <c r="F53" s="173">
        <v>5.9710000000000001</v>
      </c>
      <c r="G53" s="106">
        <v>0</v>
      </c>
      <c r="H53" s="106">
        <v>0</v>
      </c>
      <c r="I53" s="10" t="str">
        <f t="shared" si="10"/>
        <v>Середовище культуральне ORIGIO Sequential Fert, 10 ml, паков</v>
      </c>
      <c r="J53" s="79">
        <f t="shared" si="11"/>
        <v>5.9710000000000001</v>
      </c>
      <c r="K53" s="55">
        <v>0</v>
      </c>
    </row>
    <row r="54" spans="1:19" s="19" customFormat="1" ht="43.8" customHeight="1" thickBot="1" x14ac:dyDescent="0.3">
      <c r="A54" s="254"/>
      <c r="B54" s="118">
        <v>0</v>
      </c>
      <c r="C54" s="7">
        <f t="shared" ref="C54" si="13">F53:F54</f>
        <v>10.598000000000001</v>
      </c>
      <c r="D54" s="174" t="s">
        <v>82</v>
      </c>
      <c r="E54" s="109">
        <v>5</v>
      </c>
      <c r="F54" s="173">
        <v>10.598000000000001</v>
      </c>
      <c r="G54" s="106">
        <v>0</v>
      </c>
      <c r="H54" s="106">
        <v>0</v>
      </c>
      <c r="I54" s="10" t="str">
        <f t="shared" si="10"/>
        <v>Середовище культуральне SAGE 1-Step™ with Human Serum Albumin 10 ml, паков</v>
      </c>
      <c r="J54" s="79">
        <f t="shared" si="11"/>
        <v>10.598000000000001</v>
      </c>
      <c r="K54" s="55"/>
    </row>
    <row r="55" spans="1:19" s="19" customFormat="1" ht="51" customHeight="1" x14ac:dyDescent="0.25">
      <c r="A55" s="254"/>
      <c r="B55" s="262" t="s">
        <v>77</v>
      </c>
      <c r="C55" s="263"/>
      <c r="D55" s="263"/>
      <c r="E55" s="263"/>
      <c r="F55" s="16">
        <f>F56+F57</f>
        <v>19.91649</v>
      </c>
      <c r="G55" s="263" t="s">
        <v>77</v>
      </c>
      <c r="H55" s="263"/>
      <c r="I55" s="263"/>
      <c r="J55" s="84">
        <f t="shared" si="11"/>
        <v>5.8951600000000006</v>
      </c>
      <c r="K55" s="59">
        <f>SUM(K56:K60)</f>
        <v>14.021329999999999</v>
      </c>
    </row>
    <row r="56" spans="1:19" s="19" customFormat="1" ht="48.75" customHeight="1" x14ac:dyDescent="0.25">
      <c r="A56" s="254"/>
      <c r="B56" s="118">
        <v>0</v>
      </c>
      <c r="C56" s="7">
        <f t="shared" si="12"/>
        <v>15.565160000000001</v>
      </c>
      <c r="D56" s="17" t="s">
        <v>87</v>
      </c>
      <c r="E56" s="109">
        <v>1</v>
      </c>
      <c r="F56" s="7">
        <f>15565.16/1000</f>
        <v>15.565160000000001</v>
      </c>
      <c r="G56" s="106">
        <v>0</v>
      </c>
      <c r="H56" s="106">
        <v>0</v>
      </c>
      <c r="I56" s="10" t="str">
        <f t="shared" si="10"/>
        <v>Середовища культуральні PureCeption 24-Determination By-Layer Kit 12 x 12 ml, паков</v>
      </c>
      <c r="J56" s="79">
        <f t="shared" si="11"/>
        <v>5.8951600000000006</v>
      </c>
      <c r="K56" s="55">
        <v>9.67</v>
      </c>
    </row>
    <row r="57" spans="1:19" s="19" customFormat="1" ht="37.5" customHeight="1" thickBot="1" x14ac:dyDescent="0.3">
      <c r="A57" s="255"/>
      <c r="B57" s="120">
        <v>0</v>
      </c>
      <c r="C57" s="20">
        <f t="shared" si="12"/>
        <v>4.3513299999999999</v>
      </c>
      <c r="D57" s="36" t="s">
        <v>85</v>
      </c>
      <c r="E57" s="154">
        <v>1</v>
      </c>
      <c r="F57" s="20">
        <f>4351.33/1000</f>
        <v>4.3513299999999999</v>
      </c>
      <c r="G57" s="115">
        <v>0</v>
      </c>
      <c r="H57" s="115">
        <v>0</v>
      </c>
      <c r="I57" s="22" t="str">
        <f t="shared" si="10"/>
        <v>STRIPPER® наконечник 1000µm, паков</v>
      </c>
      <c r="J57" s="81">
        <f>F57-K57</f>
        <v>0</v>
      </c>
      <c r="K57" s="54">
        <f>F57</f>
        <v>4.3513299999999999</v>
      </c>
    </row>
    <row r="58" spans="1:19" ht="40.5" customHeight="1" x14ac:dyDescent="0.25">
      <c r="A58" s="261" t="s">
        <v>216</v>
      </c>
      <c r="B58" s="262" t="s">
        <v>77</v>
      </c>
      <c r="C58" s="263"/>
      <c r="D58" s="263"/>
      <c r="E58" s="263"/>
      <c r="F58" s="16">
        <f>F59+F60+F61+F62+F63</f>
        <v>47.194999999999993</v>
      </c>
      <c r="G58" s="263" t="s">
        <v>77</v>
      </c>
      <c r="H58" s="263"/>
      <c r="I58" s="263"/>
      <c r="J58" s="84">
        <f t="shared" ref="J58:J68" si="14">F58-K58</f>
        <v>47.194999999999993</v>
      </c>
      <c r="K58" s="59">
        <f>SUM(K59:K63)</f>
        <v>0</v>
      </c>
    </row>
    <row r="59" spans="1:19" ht="37.5" customHeight="1" x14ac:dyDescent="0.25">
      <c r="A59" s="254"/>
      <c r="B59" s="118">
        <v>0</v>
      </c>
      <c r="C59" s="7">
        <v>8.15</v>
      </c>
      <c r="D59" s="184" t="s">
        <v>247</v>
      </c>
      <c r="E59" s="108">
        <v>1</v>
      </c>
      <c r="F59" s="173">
        <v>8.15</v>
      </c>
      <c r="G59" s="106">
        <v>0</v>
      </c>
      <c r="H59" s="106">
        <v>0</v>
      </c>
      <c r="I59" s="10" t="str">
        <f t="shared" ref="I59:I63" si="15">D59</f>
        <v>205 Середовища для розморожування (середовища 14,4 мл), шт</v>
      </c>
      <c r="J59" s="79">
        <v>8.15</v>
      </c>
      <c r="K59" s="55"/>
    </row>
    <row r="60" spans="1:19" ht="37.5" customHeight="1" x14ac:dyDescent="0.25">
      <c r="A60" s="254"/>
      <c r="B60" s="118"/>
      <c r="C60" s="7">
        <v>9.3000000000000007</v>
      </c>
      <c r="D60" s="187" t="s">
        <v>247</v>
      </c>
      <c r="E60" s="108">
        <v>1</v>
      </c>
      <c r="F60" s="173">
        <v>9.2949999999999999</v>
      </c>
      <c r="G60" s="106">
        <v>0</v>
      </c>
      <c r="H60" s="106">
        <v>0</v>
      </c>
      <c r="I60" s="10" t="str">
        <f t="shared" si="15"/>
        <v>205 Середовища для розморожування (середовища 14,4 мл), шт</v>
      </c>
      <c r="J60" s="79">
        <v>9.3000000000000007</v>
      </c>
      <c r="K60" s="55"/>
    </row>
    <row r="61" spans="1:19" ht="37.5" customHeight="1" x14ac:dyDescent="0.25">
      <c r="A61" s="254"/>
      <c r="B61" s="118"/>
      <c r="C61" s="7">
        <v>14.9</v>
      </c>
      <c r="D61" s="187" t="s">
        <v>95</v>
      </c>
      <c r="E61" s="108">
        <v>2</v>
      </c>
      <c r="F61" s="173">
        <v>14.872</v>
      </c>
      <c r="G61" s="106">
        <v>0</v>
      </c>
      <c r="H61" s="106">
        <v>0</v>
      </c>
      <c r="I61" s="10" t="str">
        <f t="shared" si="15"/>
        <v>CR Соломини для вітрифікації (заморожування) Cryotec (10 од/уп), паков</v>
      </c>
      <c r="J61" s="79">
        <f t="shared" si="14"/>
        <v>14.872</v>
      </c>
      <c r="K61" s="55"/>
    </row>
    <row r="62" spans="1:19" ht="37.5" customHeight="1" x14ac:dyDescent="0.25">
      <c r="A62" s="254"/>
      <c r="B62" s="118"/>
      <c r="C62" s="7">
        <v>10.3</v>
      </c>
      <c r="D62" s="187" t="s">
        <v>250</v>
      </c>
      <c r="E62" s="108">
        <v>2</v>
      </c>
      <c r="F62" s="173">
        <v>10.343</v>
      </c>
      <c r="G62" s="106">
        <v>0</v>
      </c>
      <c r="H62" s="106">
        <v>0</v>
      </c>
      <c r="I62" s="168" t="s">
        <v>250</v>
      </c>
      <c r="J62" s="79">
        <f t="shared" si="14"/>
        <v>10.343</v>
      </c>
      <c r="K62" s="55"/>
    </row>
    <row r="63" spans="1:19" ht="43.5" customHeight="1" x14ac:dyDescent="0.25">
      <c r="A63" s="254"/>
      <c r="B63" s="118">
        <v>0</v>
      </c>
      <c r="C63" s="7">
        <v>4.53</v>
      </c>
      <c r="D63" s="184" t="s">
        <v>89</v>
      </c>
      <c r="E63" s="108">
        <v>1</v>
      </c>
      <c r="F63" s="173">
        <v>4.5350000000000001</v>
      </c>
      <c r="G63" s="106">
        <v>0</v>
      </c>
      <c r="H63" s="106">
        <v>0</v>
      </c>
      <c r="I63" s="10" t="str">
        <f t="shared" si="15"/>
        <v>WP Пластикова чашка для вітрифікації (10 од/уп), паков</v>
      </c>
      <c r="J63" s="79">
        <f t="shared" si="14"/>
        <v>4.5350000000000001</v>
      </c>
      <c r="K63" s="55"/>
    </row>
    <row r="64" spans="1:19" ht="37.5" customHeight="1" x14ac:dyDescent="0.25">
      <c r="A64" s="254"/>
      <c r="B64" s="264" t="s">
        <v>77</v>
      </c>
      <c r="C64" s="253"/>
      <c r="D64" s="253"/>
      <c r="E64" s="253"/>
      <c r="F64" s="202">
        <f>F65+F66</f>
        <v>13.375999999999999</v>
      </c>
      <c r="G64" s="253" t="s">
        <v>77</v>
      </c>
      <c r="H64" s="253"/>
      <c r="I64" s="253"/>
      <c r="J64" s="79">
        <f t="shared" si="14"/>
        <v>13.375999999999999</v>
      </c>
      <c r="K64" s="55">
        <f>SUM(K65:K66)</f>
        <v>0</v>
      </c>
    </row>
    <row r="65" spans="1:18" ht="39.75" customHeight="1" x14ac:dyDescent="0.25">
      <c r="A65" s="254"/>
      <c r="B65" s="118">
        <v>0</v>
      </c>
      <c r="C65" s="7">
        <f>F63:F65</f>
        <v>5.6429999999999998</v>
      </c>
      <c r="D65" s="184" t="s">
        <v>90</v>
      </c>
      <c r="E65" s="108">
        <v>1</v>
      </c>
      <c r="F65" s="173">
        <v>5.6429999999999998</v>
      </c>
      <c r="G65" s="106">
        <v>0</v>
      </c>
      <c r="H65" s="106">
        <v>0</v>
      </c>
      <c r="I65" s="10" t="str">
        <f t="shared" ref="I65:I66" si="16">D65</f>
        <v>SPD-30 Мікропіпетки для часткового розсічення зони пелюсіда, з кутом 30° (10 од/уп)</v>
      </c>
      <c r="J65" s="79">
        <f t="shared" si="14"/>
        <v>5.6429999999999998</v>
      </c>
      <c r="K65" s="55"/>
    </row>
    <row r="66" spans="1:18" ht="39.75" customHeight="1" x14ac:dyDescent="0.25">
      <c r="A66" s="254"/>
      <c r="B66" s="118">
        <v>0</v>
      </c>
      <c r="C66" s="7">
        <f t="shared" ref="C66" si="17">F65:F66</f>
        <v>7.7329999999999997</v>
      </c>
      <c r="D66" s="184" t="s">
        <v>91</v>
      </c>
      <c r="E66" s="108">
        <v>1</v>
      </c>
      <c r="F66" s="173">
        <v>7.7329999999999997</v>
      </c>
      <c r="G66" s="106">
        <v>0</v>
      </c>
      <c r="H66" s="106">
        <v>0</v>
      </c>
      <c r="I66" s="10" t="str">
        <f t="shared" si="16"/>
        <v>SIC-50W-35 Інжекторні мікропіпетки для проведення ІКСІ ID:5,0 мм/35° (10 од/уп)</v>
      </c>
      <c r="J66" s="79">
        <f t="shared" si="14"/>
        <v>7.7329999999999997</v>
      </c>
      <c r="K66" s="55"/>
    </row>
    <row r="67" spans="1:18" ht="36" customHeight="1" x14ac:dyDescent="0.25">
      <c r="A67" s="254"/>
      <c r="B67" s="264" t="s">
        <v>77</v>
      </c>
      <c r="C67" s="253"/>
      <c r="D67" s="253"/>
      <c r="E67" s="253"/>
      <c r="F67" s="32">
        <f>F68+F69</f>
        <v>18.672000000000001</v>
      </c>
      <c r="G67" s="253" t="s">
        <v>77</v>
      </c>
      <c r="H67" s="253"/>
      <c r="I67" s="253"/>
      <c r="J67" s="79">
        <f t="shared" si="14"/>
        <v>18.672000000000001</v>
      </c>
      <c r="K67" s="55">
        <f>SUM(K68:K69)</f>
        <v>0</v>
      </c>
    </row>
    <row r="68" spans="1:18" s="19" customFormat="1" ht="54.75" customHeight="1" x14ac:dyDescent="0.3">
      <c r="A68" s="254"/>
      <c r="B68" s="118">
        <v>0</v>
      </c>
      <c r="C68" s="7">
        <f>F66:F68</f>
        <v>10.788</v>
      </c>
      <c r="D68" s="187" t="s">
        <v>251</v>
      </c>
      <c r="E68" s="106">
        <v>120</v>
      </c>
      <c r="F68" s="173">
        <v>10.788</v>
      </c>
      <c r="G68" s="106">
        <v>0</v>
      </c>
      <c r="H68" s="106">
        <v>0</v>
      </c>
      <c r="I68" s="10" t="str">
        <f t="shared" ref="I68:I69" si="18">D68</f>
        <v>OOPW-FW03 Oosafe 4 лукова чашка, оброблена поверхня,4шт/уп.120шт/ящ</v>
      </c>
      <c r="J68" s="79">
        <f t="shared" si="14"/>
        <v>10.788</v>
      </c>
      <c r="K68" s="55"/>
      <c r="N68" s="61"/>
      <c r="O68" s="61"/>
      <c r="P68" s="61"/>
      <c r="Q68" s="61"/>
      <c r="R68" s="61"/>
    </row>
    <row r="69" spans="1:18" s="19" customFormat="1" ht="54.75" customHeight="1" x14ac:dyDescent="0.25">
      <c r="A69" s="254"/>
      <c r="B69" s="118">
        <v>0</v>
      </c>
      <c r="C69" s="7">
        <f t="shared" ref="C69" si="19">F68:F69</f>
        <v>7.8840000000000003</v>
      </c>
      <c r="D69" s="187" t="s">
        <v>252</v>
      </c>
      <c r="E69" s="106">
        <v>500</v>
      </c>
      <c r="F69" s="173">
        <v>7.8840000000000003</v>
      </c>
      <c r="G69" s="106">
        <v>0</v>
      </c>
      <c r="H69" s="106">
        <v>0</v>
      </c>
      <c r="I69" s="10" t="str">
        <f t="shared" si="18"/>
        <v>OOPW-ОТ10  Oosafe пробирка для заборуооцитів14мл.10шт/уп. 500шт/ящ</v>
      </c>
      <c r="J69" s="79">
        <f>F69-K69</f>
        <v>7.8840000000000003</v>
      </c>
      <c r="K69" s="55"/>
    </row>
    <row r="70" spans="1:18" s="19" customFormat="1" ht="34.5" customHeight="1" x14ac:dyDescent="0.25">
      <c r="A70" s="254"/>
      <c r="B70" s="264" t="s">
        <v>77</v>
      </c>
      <c r="C70" s="253"/>
      <c r="D70" s="253"/>
      <c r="E70" s="253"/>
      <c r="F70" s="202">
        <f>F71+F72</f>
        <v>10.004999999999999</v>
      </c>
      <c r="G70" s="253" t="s">
        <v>77</v>
      </c>
      <c r="H70" s="253"/>
      <c r="I70" s="253"/>
      <c r="J70" s="137">
        <f>J72</f>
        <v>0.22500000000000001</v>
      </c>
      <c r="K70" s="55">
        <f>SUM(K72)</f>
        <v>0</v>
      </c>
    </row>
    <row r="71" spans="1:18" s="19" customFormat="1" ht="42" customHeight="1" x14ac:dyDescent="0.25">
      <c r="A71" s="254"/>
      <c r="B71" s="197"/>
      <c r="C71" s="7">
        <f>F68:F71</f>
        <v>9.7799999999999994</v>
      </c>
      <c r="D71" s="184" t="s">
        <v>308</v>
      </c>
      <c r="E71" s="42">
        <v>500</v>
      </c>
      <c r="F71" s="173">
        <v>9.7799999999999994</v>
      </c>
      <c r="G71" s="198"/>
      <c r="H71" s="198"/>
      <c r="I71" s="10" t="str">
        <f t="shared" ref="I71:I88" si="20">D71</f>
        <v>OOTF-TF06 Oosafe 35 мм чашка, необроблена поверхність, шт</v>
      </c>
      <c r="J71" s="79">
        <f>F71-K71</f>
        <v>9.7799999999999994</v>
      </c>
      <c r="K71" s="55"/>
    </row>
    <row r="72" spans="1:18" s="19" customFormat="1" ht="27.6" x14ac:dyDescent="0.3">
      <c r="A72" s="254"/>
      <c r="B72" s="118">
        <v>0</v>
      </c>
      <c r="C72" s="7">
        <f>F69:F72</f>
        <v>0.22500000000000001</v>
      </c>
      <c r="D72" s="184" t="s">
        <v>94</v>
      </c>
      <c r="E72" s="106">
        <v>10</v>
      </c>
      <c r="F72" s="173">
        <v>0.22500000000000001</v>
      </c>
      <c r="G72" s="106">
        <v>0</v>
      </c>
      <c r="H72" s="106">
        <v>0</v>
      </c>
      <c r="I72" s="10" t="str">
        <f t="shared" si="20"/>
        <v>OOPW-IC06 Oosafe 50 мм чашка, тонка стінка, необроблена поверхня, шт.</v>
      </c>
      <c r="J72" s="79">
        <f>F72-K72</f>
        <v>0.22500000000000001</v>
      </c>
      <c r="K72" s="55"/>
      <c r="N72" s="61"/>
      <c r="O72" s="61"/>
      <c r="P72" s="61"/>
      <c r="Q72" s="61"/>
      <c r="R72" s="61"/>
    </row>
    <row r="73" spans="1:18" s="19" customFormat="1" ht="42" customHeight="1" x14ac:dyDescent="0.25">
      <c r="A73" s="254"/>
      <c r="B73" s="264" t="s">
        <v>77</v>
      </c>
      <c r="C73" s="253"/>
      <c r="D73" s="253"/>
      <c r="E73" s="253"/>
      <c r="F73" s="32">
        <f>F74+F75+F76+F77+F78</f>
        <v>41.699069999999999</v>
      </c>
      <c r="G73" s="253" t="s">
        <v>77</v>
      </c>
      <c r="H73" s="253"/>
      <c r="I73" s="253"/>
      <c r="J73" s="137">
        <f>J74+J75+J76+J77+J78</f>
        <v>3.2427800000000016</v>
      </c>
      <c r="K73" s="55">
        <f>SUM(K74:K78)</f>
        <v>38.456289999999996</v>
      </c>
    </row>
    <row r="74" spans="1:18" s="19" customFormat="1" ht="27.6" x14ac:dyDescent="0.25">
      <c r="A74" s="254"/>
      <c r="B74" s="118">
        <v>0</v>
      </c>
      <c r="C74" s="7">
        <f>F72:F74</f>
        <v>8.2149999999999999</v>
      </c>
      <c r="D74" s="184" t="s">
        <v>261</v>
      </c>
      <c r="E74" s="108">
        <v>1</v>
      </c>
      <c r="F74" s="173">
        <v>8.2149999999999999</v>
      </c>
      <c r="G74" s="106">
        <v>0</v>
      </c>
      <c r="H74" s="106">
        <v>0</v>
      </c>
      <c r="I74" s="10" t="str">
        <f t="shared" si="20"/>
        <v xml:space="preserve">205 Середовища для розморожування (середовища 14,4мл) </v>
      </c>
      <c r="J74" s="79">
        <f t="shared" ref="J74:J77" si="21">F74-K74</f>
        <v>0</v>
      </c>
      <c r="K74" s="55">
        <f>F74</f>
        <v>8.2149999999999999</v>
      </c>
    </row>
    <row r="75" spans="1:18" s="19" customFormat="1" ht="32.25" customHeight="1" x14ac:dyDescent="0.25">
      <c r="A75" s="254"/>
      <c r="B75" s="118">
        <v>0</v>
      </c>
      <c r="C75" s="7">
        <f t="shared" ref="C75:C87" si="22">F74:F75</f>
        <v>9.1419999999999995</v>
      </c>
      <c r="D75" s="184" t="s">
        <v>262</v>
      </c>
      <c r="E75" s="108">
        <v>2</v>
      </c>
      <c r="F75" s="173">
        <v>9.1419999999999995</v>
      </c>
      <c r="G75" s="106">
        <v>0</v>
      </c>
      <c r="H75" s="106">
        <v>0</v>
      </c>
      <c r="I75" s="10" t="str">
        <f t="shared" si="20"/>
        <v>WP Пластикова чашка для вітрифікації (10 од/уп)</v>
      </c>
      <c r="J75" s="79">
        <f t="shared" si="21"/>
        <v>0</v>
      </c>
      <c r="K75" s="55">
        <f>F75</f>
        <v>9.1419999999999995</v>
      </c>
    </row>
    <row r="76" spans="1:18" s="19" customFormat="1" ht="51" customHeight="1" x14ac:dyDescent="0.25">
      <c r="A76" s="254"/>
      <c r="B76" s="118">
        <v>0</v>
      </c>
      <c r="C76" s="7">
        <f t="shared" si="22"/>
        <v>7.7939999999999996</v>
      </c>
      <c r="D76" s="184" t="s">
        <v>91</v>
      </c>
      <c r="E76" s="108">
        <v>1</v>
      </c>
      <c r="F76" s="173">
        <v>7.7939999999999996</v>
      </c>
      <c r="G76" s="106">
        <v>0</v>
      </c>
      <c r="H76" s="106">
        <v>0</v>
      </c>
      <c r="I76" s="10" t="str">
        <f t="shared" si="20"/>
        <v>SIC-50W-35 Інжекторні мікропіпетки для проведення ІКСІ ID:5,0 мм/35° (10 од/уп)</v>
      </c>
      <c r="J76" s="79">
        <f t="shared" si="21"/>
        <v>0</v>
      </c>
      <c r="K76" s="55">
        <f>F76</f>
        <v>7.7939999999999996</v>
      </c>
    </row>
    <row r="77" spans="1:18" s="19" customFormat="1" ht="32.25" customHeight="1" x14ac:dyDescent="0.25">
      <c r="A77" s="254"/>
      <c r="B77" s="118">
        <v>0</v>
      </c>
      <c r="C77" s="7">
        <f t="shared" si="22"/>
        <v>6.2762900000000004</v>
      </c>
      <c r="D77" s="10" t="s">
        <v>82</v>
      </c>
      <c r="E77" s="108">
        <v>3</v>
      </c>
      <c r="F77" s="7">
        <f>6276.29/1000</f>
        <v>6.2762900000000004</v>
      </c>
      <c r="G77" s="106">
        <v>0</v>
      </c>
      <c r="H77" s="106">
        <v>0</v>
      </c>
      <c r="I77" s="10" t="str">
        <f t="shared" si="20"/>
        <v>Середовище культуральне SAGE 1-Step™ with Human Serum Albumin 10 ml, паков</v>
      </c>
      <c r="J77" s="79">
        <f t="shared" si="21"/>
        <v>0</v>
      </c>
      <c r="K77" s="55">
        <f>F77</f>
        <v>6.2762900000000004</v>
      </c>
    </row>
    <row r="78" spans="1:18" s="19" customFormat="1" ht="32.25" customHeight="1" x14ac:dyDescent="0.25">
      <c r="A78" s="254"/>
      <c r="B78" s="118">
        <v>0</v>
      </c>
      <c r="C78" s="7">
        <f t="shared" si="22"/>
        <v>10.271780000000001</v>
      </c>
      <c r="D78" s="10" t="s">
        <v>81</v>
      </c>
      <c r="E78" s="108">
        <v>1</v>
      </c>
      <c r="F78" s="7">
        <f>10271.78/1000</f>
        <v>10.271780000000001</v>
      </c>
      <c r="G78" s="106">
        <v>0</v>
      </c>
      <c r="H78" s="106">
        <v>0</v>
      </c>
      <c r="I78" s="10" t="str">
        <f t="shared" si="20"/>
        <v>Середовище культуральне ORIGIO Sequential Fert, 10 ml, паков</v>
      </c>
      <c r="J78" s="79">
        <f>F78-K78</f>
        <v>3.2427800000000016</v>
      </c>
      <c r="K78" s="55">
        <v>7.0289999999999999</v>
      </c>
    </row>
    <row r="79" spans="1:18" s="19" customFormat="1" ht="44.25" customHeight="1" x14ac:dyDescent="0.25">
      <c r="A79" s="254"/>
      <c r="B79" s="264" t="s">
        <v>77</v>
      </c>
      <c r="C79" s="253"/>
      <c r="D79" s="253"/>
      <c r="E79" s="253"/>
      <c r="F79" s="32">
        <f>F80</f>
        <v>7.79</v>
      </c>
      <c r="G79" s="253" t="s">
        <v>77</v>
      </c>
      <c r="H79" s="253"/>
      <c r="I79" s="253"/>
      <c r="J79" s="137">
        <f t="shared" ref="J79:J85" si="23">F79-K79</f>
        <v>7.79</v>
      </c>
      <c r="K79" s="55">
        <f>SUM(K80:K80)</f>
        <v>0</v>
      </c>
    </row>
    <row r="80" spans="1:18" s="19" customFormat="1" ht="37.799999999999997" customHeight="1" x14ac:dyDescent="0.25">
      <c r="A80" s="254"/>
      <c r="B80" s="118">
        <v>0</v>
      </c>
      <c r="C80" s="7">
        <f t="shared" ref="C80" si="24">F79:F80</f>
        <v>7.79</v>
      </c>
      <c r="D80" s="168"/>
      <c r="E80" s="108">
        <v>1</v>
      </c>
      <c r="F80" s="7">
        <v>7.79</v>
      </c>
      <c r="G80" s="106">
        <v>0</v>
      </c>
      <c r="H80" s="106">
        <v>0</v>
      </c>
      <c r="I80" s="10">
        <f t="shared" ref="I80" si="25">D80</f>
        <v>0</v>
      </c>
      <c r="J80" s="79">
        <f t="shared" si="23"/>
        <v>7.79</v>
      </c>
      <c r="K80" s="55"/>
    </row>
    <row r="81" spans="1:19" s="19" customFormat="1" ht="33" customHeight="1" x14ac:dyDescent="0.25">
      <c r="A81" s="254"/>
      <c r="B81" s="264" t="s">
        <v>77</v>
      </c>
      <c r="C81" s="253"/>
      <c r="D81" s="253"/>
      <c r="E81" s="253"/>
      <c r="F81" s="32">
        <f>F82+F83</f>
        <v>16.91</v>
      </c>
      <c r="G81" s="253" t="s">
        <v>77</v>
      </c>
      <c r="H81" s="253"/>
      <c r="I81" s="253"/>
      <c r="J81" s="137">
        <f t="shared" si="23"/>
        <v>16.91</v>
      </c>
      <c r="K81" s="55">
        <f>SUM(K83)</f>
        <v>0</v>
      </c>
    </row>
    <row r="82" spans="1:19" s="19" customFormat="1" ht="79.2" customHeight="1" x14ac:dyDescent="0.25">
      <c r="A82" s="254"/>
      <c r="B82" s="118">
        <v>0</v>
      </c>
      <c r="C82" s="7">
        <f t="shared" ref="C82" si="26">F81:F82</f>
        <v>11.426</v>
      </c>
      <c r="D82" s="177" t="s">
        <v>259</v>
      </c>
      <c r="E82" s="110">
        <v>10</v>
      </c>
      <c r="F82" s="173">
        <v>11.426</v>
      </c>
      <c r="G82" s="106">
        <v>0</v>
      </c>
      <c r="H82" s="106">
        <v>0</v>
      </c>
      <c r="I82" s="10" t="str">
        <f t="shared" ref="I82:I83" si="27">D82</f>
        <v>K-JETS-7019-ЕТ Вигнутий катетер для переносу ембріонів з ЕСНО наконечніком, трансферний катетер 2.8Fr-24cm та навігаційний катетер 6.6Fr-17.3cm, шт</v>
      </c>
      <c r="J82" s="79">
        <f>F82-K82</f>
        <v>11.426</v>
      </c>
      <c r="K82" s="55"/>
    </row>
    <row r="83" spans="1:19" s="19" customFormat="1" ht="78.599999999999994" thickBot="1" x14ac:dyDescent="0.3">
      <c r="A83" s="254"/>
      <c r="B83" s="120">
        <v>0</v>
      </c>
      <c r="C83" s="20">
        <f>F81:F83</f>
        <v>5.484</v>
      </c>
      <c r="D83" s="186" t="s">
        <v>260</v>
      </c>
      <c r="E83" s="111">
        <v>1</v>
      </c>
      <c r="F83" s="185">
        <v>5.484</v>
      </c>
      <c r="G83" s="115">
        <v>0</v>
      </c>
      <c r="H83" s="115">
        <v>0</v>
      </c>
      <c r="I83" s="22" t="str">
        <f t="shared" si="27"/>
        <v>K-НРІР-1035 Холдінгові мікропіпетки для проведення ІКСІ вн. діаметр 17um зовнішний діаметр 80um та кутом 35 градусів 10 одиниць в упаковці</v>
      </c>
      <c r="J83" s="81">
        <f>F83-K83</f>
        <v>5.484</v>
      </c>
      <c r="K83" s="54"/>
    </row>
    <row r="84" spans="1:19" s="19" customFormat="1" ht="33" customHeight="1" x14ac:dyDescent="0.25">
      <c r="A84" s="254"/>
      <c r="B84" s="264" t="s">
        <v>77</v>
      </c>
      <c r="C84" s="253"/>
      <c r="D84" s="253"/>
      <c r="E84" s="253"/>
      <c r="F84" s="202">
        <f>F85+F86+F87+F88</f>
        <v>41.620999999999995</v>
      </c>
      <c r="G84" s="253" t="s">
        <v>77</v>
      </c>
      <c r="H84" s="253"/>
      <c r="I84" s="253"/>
      <c r="J84" s="137">
        <f t="shared" si="23"/>
        <v>41.620999999999995</v>
      </c>
      <c r="K84" s="55">
        <f>SUM(K85:K88)</f>
        <v>0</v>
      </c>
    </row>
    <row r="85" spans="1:19" ht="52.5" customHeight="1" x14ac:dyDescent="0.25">
      <c r="A85" s="254"/>
      <c r="B85" s="118">
        <v>0</v>
      </c>
      <c r="C85" s="7">
        <f>F83:F85</f>
        <v>8.3149999999999995</v>
      </c>
      <c r="D85" s="177" t="s">
        <v>97</v>
      </c>
      <c r="E85" s="110">
        <v>1</v>
      </c>
      <c r="F85" s="173">
        <v>8.3149999999999995</v>
      </c>
      <c r="G85" s="106">
        <v>0</v>
      </c>
      <c r="H85" s="106">
        <v>0</v>
      </c>
      <c r="I85" s="10" t="str">
        <f t="shared" si="20"/>
        <v>K-FPIP-1300-10BS-5 Піпетки для денудації 300 мікрон 5 туб по 10 піпеток (50од./уп.), паков</v>
      </c>
      <c r="J85" s="79">
        <f t="shared" si="23"/>
        <v>8.3149999999999995</v>
      </c>
      <c r="K85" s="55"/>
    </row>
    <row r="86" spans="1:19" ht="63" customHeight="1" x14ac:dyDescent="0.3">
      <c r="A86" s="254"/>
      <c r="B86" s="118">
        <v>0</v>
      </c>
      <c r="C86" s="7">
        <f t="shared" si="22"/>
        <v>10.9</v>
      </c>
      <c r="D86" s="177" t="s">
        <v>92</v>
      </c>
      <c r="E86" s="110">
        <v>10</v>
      </c>
      <c r="F86" s="173">
        <v>10.9</v>
      </c>
      <c r="G86" s="106">
        <v>0</v>
      </c>
      <c r="H86" s="106">
        <v>0</v>
      </c>
      <c r="I86" s="10" t="str">
        <f t="shared" si="20"/>
        <v>K-JETS-7019 Вигнутий катетер для переносу ембріонів, трансферний катетер 2.8Fr-24cm та навігаційний катетер 6.6Fr-17.3cm, шт</v>
      </c>
      <c r="J86" s="79">
        <f>F86-K86</f>
        <v>10.9</v>
      </c>
      <c r="K86" s="55"/>
      <c r="N86" s="61"/>
      <c r="O86" s="61"/>
      <c r="P86" s="61"/>
      <c r="Q86" s="61"/>
      <c r="R86" s="61"/>
    </row>
    <row r="87" spans="1:19" ht="63" customHeight="1" thickBot="1" x14ac:dyDescent="0.35">
      <c r="A87" s="254"/>
      <c r="B87" s="119"/>
      <c r="C87" s="7">
        <f t="shared" si="22"/>
        <v>10.856</v>
      </c>
      <c r="D87" s="186" t="s">
        <v>98</v>
      </c>
      <c r="E87" s="113">
        <v>10</v>
      </c>
      <c r="F87" s="189">
        <v>10.856</v>
      </c>
      <c r="G87" s="107"/>
      <c r="H87" s="107"/>
      <c r="I87" s="170" t="s">
        <v>98</v>
      </c>
      <c r="J87" s="79">
        <f>F87-K87</f>
        <v>10.856</v>
      </c>
      <c r="K87" s="55"/>
      <c r="N87" s="61"/>
      <c r="O87" s="61"/>
      <c r="P87" s="61"/>
      <c r="Q87" s="61"/>
      <c r="R87" s="61"/>
    </row>
    <row r="88" spans="1:19" ht="81.599999999999994" customHeight="1" thickBot="1" x14ac:dyDescent="0.3">
      <c r="A88" s="255"/>
      <c r="B88" s="120">
        <v>0</v>
      </c>
      <c r="C88" s="20">
        <f>F86:F88</f>
        <v>11.55</v>
      </c>
      <c r="D88" s="186" t="s">
        <v>249</v>
      </c>
      <c r="E88" s="111">
        <v>2</v>
      </c>
      <c r="F88" s="185">
        <v>11.55</v>
      </c>
      <c r="G88" s="115">
        <v>0</v>
      </c>
      <c r="H88" s="115">
        <v>0</v>
      </c>
      <c r="I88" s="22" t="str">
        <f t="shared" si="20"/>
        <v>K-НПІП-1035 Холдінгові мікропіпетки для проведення ІКСІ вн. Діаметр 17um зовнішний діаметр 80um та кутом 35 градусів 10 одиниць в упаковці</v>
      </c>
      <c r="J88" s="81">
        <f>F88-K88</f>
        <v>11.55</v>
      </c>
      <c r="K88" s="54"/>
    </row>
    <row r="89" spans="1:19" s="6" customFormat="1" ht="40.5" customHeight="1" x14ac:dyDescent="0.3">
      <c r="A89" s="254"/>
      <c r="B89" s="256" t="s">
        <v>102</v>
      </c>
      <c r="C89" s="257"/>
      <c r="D89" s="257"/>
      <c r="E89" s="112"/>
      <c r="F89" s="37">
        <f>F90+F91+F92+F93+F94+F95+F96+F97+F98+F99+F100+F102+F101</f>
        <v>95.52600000000001</v>
      </c>
      <c r="G89" s="257" t="s">
        <v>102</v>
      </c>
      <c r="H89" s="257"/>
      <c r="I89" s="257"/>
      <c r="J89" s="95">
        <f>J90+J91+J92+J93+J94+J95+J96+J97+J98+J99+J100+J102+J101</f>
        <v>95.52600000000001</v>
      </c>
      <c r="K89" s="88">
        <v>0</v>
      </c>
      <c r="L89" s="61"/>
      <c r="M89" s="62"/>
      <c r="N89" s="19"/>
      <c r="O89" s="19"/>
      <c r="P89" s="19"/>
      <c r="Q89" s="19"/>
      <c r="R89" s="19"/>
      <c r="S89" s="61"/>
    </row>
    <row r="90" spans="1:19" ht="39.75" customHeight="1" x14ac:dyDescent="0.25">
      <c r="A90" s="254"/>
      <c r="B90" s="118">
        <v>0</v>
      </c>
      <c r="C90" s="7">
        <f t="shared" ref="C90:C105" si="28">F89:F90</f>
        <v>6.835</v>
      </c>
      <c r="D90" s="187" t="s">
        <v>103</v>
      </c>
      <c r="E90" s="106">
        <v>1</v>
      </c>
      <c r="F90" s="173">
        <v>6.835</v>
      </c>
      <c r="G90" s="106">
        <v>0</v>
      </c>
      <c r="H90" s="106">
        <v>0</v>
      </c>
      <c r="I90" s="10" t="str">
        <f t="shared" ref="I90:I105" si="29">D90</f>
        <v>Поточний ремонт автомобіля Opel COMBO 1,4</v>
      </c>
      <c r="J90" s="79">
        <f t="shared" ref="J90:J105" si="30">F90</f>
        <v>6.835</v>
      </c>
      <c r="K90" s="55">
        <v>0</v>
      </c>
    </row>
    <row r="91" spans="1:19" ht="39.75" customHeight="1" x14ac:dyDescent="0.3">
      <c r="A91" s="254"/>
      <c r="B91" s="118">
        <v>0</v>
      </c>
      <c r="C91" s="7">
        <f t="shared" si="28"/>
        <v>0.5</v>
      </c>
      <c r="D91" s="184" t="s">
        <v>257</v>
      </c>
      <c r="E91" s="106">
        <v>1</v>
      </c>
      <c r="F91" s="7">
        <v>0.5</v>
      </c>
      <c r="G91" s="106">
        <v>0</v>
      </c>
      <c r="H91" s="106">
        <v>0</v>
      </c>
      <c r="I91" s="10" t="str">
        <f t="shared" si="29"/>
        <v>Послуга з шиномонтажу</v>
      </c>
      <c r="J91" s="79">
        <f t="shared" si="30"/>
        <v>0.5</v>
      </c>
      <c r="K91" s="55">
        <v>0</v>
      </c>
      <c r="N91" s="61"/>
      <c r="O91" s="61"/>
      <c r="P91" s="61"/>
      <c r="Q91" s="61"/>
      <c r="R91" s="61"/>
    </row>
    <row r="92" spans="1:19" ht="39.75" customHeight="1" x14ac:dyDescent="0.3">
      <c r="A92" s="254"/>
      <c r="B92" s="118">
        <v>0</v>
      </c>
      <c r="C92" s="7">
        <f t="shared" si="28"/>
        <v>2.016</v>
      </c>
      <c r="D92" s="184" t="s">
        <v>298</v>
      </c>
      <c r="E92" s="106">
        <v>1</v>
      </c>
      <c r="F92" s="173">
        <v>2.016</v>
      </c>
      <c r="G92" s="106">
        <v>0</v>
      </c>
      <c r="H92" s="106">
        <v>0</v>
      </c>
      <c r="I92" s="10" t="str">
        <f t="shared" si="29"/>
        <v>Послуга програмного забеспечення HELSI., 1 послуга за 07.23</v>
      </c>
      <c r="J92" s="79">
        <f t="shared" si="30"/>
        <v>2.016</v>
      </c>
      <c r="K92" s="55">
        <v>0</v>
      </c>
      <c r="N92" s="61"/>
      <c r="O92" s="61"/>
      <c r="P92" s="61"/>
      <c r="Q92" s="61"/>
      <c r="R92" s="61"/>
    </row>
    <row r="93" spans="1:19" ht="39.75" customHeight="1" x14ac:dyDescent="0.3">
      <c r="A93" s="254"/>
      <c r="B93" s="118">
        <v>0</v>
      </c>
      <c r="C93" s="7">
        <f t="shared" si="28"/>
        <v>1.512</v>
      </c>
      <c r="D93" s="187" t="s">
        <v>105</v>
      </c>
      <c r="E93" s="106">
        <v>1</v>
      </c>
      <c r="F93" s="173">
        <v>1.512</v>
      </c>
      <c r="G93" s="106">
        <v>0</v>
      </c>
      <c r="H93" s="106">
        <v>0</v>
      </c>
      <c r="I93" s="10" t="str">
        <f t="shared" si="29"/>
        <v>Послуга програмного забеспечення HELSI., 1 послуга за 01.23</v>
      </c>
      <c r="J93" s="79">
        <f t="shared" si="30"/>
        <v>1.512</v>
      </c>
      <c r="K93" s="55">
        <v>0</v>
      </c>
      <c r="N93" s="61"/>
      <c r="O93" s="61"/>
      <c r="P93" s="61"/>
      <c r="Q93" s="61"/>
      <c r="R93" s="61"/>
    </row>
    <row r="94" spans="1:19" ht="39.75" customHeight="1" x14ac:dyDescent="0.3">
      <c r="A94" s="254"/>
      <c r="B94" s="118">
        <v>0</v>
      </c>
      <c r="C94" s="7">
        <f t="shared" si="28"/>
        <v>29.675000000000001</v>
      </c>
      <c r="D94" s="184" t="s">
        <v>297</v>
      </c>
      <c r="E94" s="106">
        <v>1</v>
      </c>
      <c r="F94" s="173">
        <v>29.675000000000001</v>
      </c>
      <c r="G94" s="106">
        <v>0</v>
      </c>
      <c r="H94" s="106">
        <v>0</v>
      </c>
      <c r="I94" s="10" t="str">
        <f t="shared" si="29"/>
        <v>Послуга вогнегасне оброблення дерев'яних конструкцій горищних приміщень 1 послуга</v>
      </c>
      <c r="J94" s="79">
        <f t="shared" si="30"/>
        <v>29.675000000000001</v>
      </c>
      <c r="K94" s="55">
        <v>0</v>
      </c>
      <c r="N94" s="61"/>
      <c r="O94" s="61"/>
      <c r="P94" s="61"/>
      <c r="Q94" s="61"/>
      <c r="R94" s="61"/>
    </row>
    <row r="95" spans="1:19" ht="39.75" customHeight="1" x14ac:dyDescent="0.25">
      <c r="A95" s="254"/>
      <c r="B95" s="118">
        <v>0</v>
      </c>
      <c r="C95" s="7">
        <f t="shared" si="28"/>
        <v>1.85</v>
      </c>
      <c r="D95" s="10" t="s">
        <v>108</v>
      </c>
      <c r="E95" s="106">
        <v>1</v>
      </c>
      <c r="F95" s="7">
        <f>1850/1000</f>
        <v>1.85</v>
      </c>
      <c r="G95" s="106">
        <v>0</v>
      </c>
      <c r="H95" s="106">
        <v>0</v>
      </c>
      <c r="I95" s="10" t="str">
        <f t="shared" si="29"/>
        <v>Технічне обслуговування та ремонт транспорту</v>
      </c>
      <c r="J95" s="79">
        <f t="shared" si="30"/>
        <v>1.85</v>
      </c>
      <c r="K95" s="55">
        <v>0</v>
      </c>
    </row>
    <row r="96" spans="1:19" ht="39.75" customHeight="1" x14ac:dyDescent="0.25">
      <c r="A96" s="254"/>
      <c r="B96" s="118">
        <v>0</v>
      </c>
      <c r="C96" s="7">
        <f t="shared" si="28"/>
        <v>3.6520000000000001</v>
      </c>
      <c r="D96" s="10" t="s">
        <v>108</v>
      </c>
      <c r="E96" s="106">
        <v>1</v>
      </c>
      <c r="F96" s="7">
        <f>3652/1000</f>
        <v>3.6520000000000001</v>
      </c>
      <c r="G96" s="106">
        <v>0</v>
      </c>
      <c r="H96" s="106">
        <v>0</v>
      </c>
      <c r="I96" s="10" t="str">
        <f t="shared" si="29"/>
        <v>Технічне обслуговування та ремонт транспорту</v>
      </c>
      <c r="J96" s="79">
        <f t="shared" si="30"/>
        <v>3.6520000000000001</v>
      </c>
      <c r="K96" s="55">
        <v>0</v>
      </c>
    </row>
    <row r="97" spans="1:19" ht="39.75" customHeight="1" x14ac:dyDescent="0.25">
      <c r="A97" s="254"/>
      <c r="B97" s="118">
        <v>0</v>
      </c>
      <c r="C97" s="7">
        <f t="shared" si="28"/>
        <v>5.49</v>
      </c>
      <c r="D97" s="187" t="s">
        <v>258</v>
      </c>
      <c r="E97" s="106">
        <v>1</v>
      </c>
      <c r="F97" s="173">
        <v>5.49</v>
      </c>
      <c r="G97" s="106">
        <v>0</v>
      </c>
      <c r="H97" s="106">
        <v>0</v>
      </c>
      <c r="I97" s="10" t="str">
        <f t="shared" si="29"/>
        <v>Доступ в режимі он-лайн до електроних баз наукової ынформації, інфор. ресурс Довідник головної медичної сестри</v>
      </c>
      <c r="J97" s="79">
        <f t="shared" si="30"/>
        <v>5.49</v>
      </c>
      <c r="K97" s="55">
        <v>0</v>
      </c>
    </row>
    <row r="98" spans="1:19" ht="39.75" customHeight="1" x14ac:dyDescent="0.25">
      <c r="A98" s="254"/>
      <c r="B98" s="118">
        <v>0</v>
      </c>
      <c r="C98" s="7">
        <f t="shared" si="28"/>
        <v>32.25</v>
      </c>
      <c r="D98" s="184" t="s">
        <v>299</v>
      </c>
      <c r="E98" s="106">
        <v>1</v>
      </c>
      <c r="F98" s="173">
        <v>32.25</v>
      </c>
      <c r="G98" s="106">
        <v>0</v>
      </c>
      <c r="H98" s="106">
        <v>0</v>
      </c>
      <c r="I98" s="10" t="str">
        <f t="shared" si="29"/>
        <v xml:space="preserve">Послуги архівні </v>
      </c>
      <c r="J98" s="79">
        <f t="shared" si="30"/>
        <v>32.25</v>
      </c>
      <c r="K98" s="55">
        <v>0</v>
      </c>
    </row>
    <row r="99" spans="1:19" ht="39.75" customHeight="1" x14ac:dyDescent="0.25">
      <c r="A99" s="254"/>
      <c r="B99" s="118">
        <v>0</v>
      </c>
      <c r="C99" s="7">
        <f t="shared" si="28"/>
        <v>4</v>
      </c>
      <c r="D99" s="184" t="s">
        <v>296</v>
      </c>
      <c r="E99" s="106">
        <v>1</v>
      </c>
      <c r="F99" s="7">
        <v>4</v>
      </c>
      <c r="G99" s="106">
        <v>0</v>
      </c>
      <c r="H99" s="106">
        <v>0</v>
      </c>
      <c r="I99" s="10" t="str">
        <f t="shared" si="29"/>
        <v>Послуги з обслуговування мережі інтернет за 08.2023 1 послуга</v>
      </c>
      <c r="J99" s="79">
        <f t="shared" si="30"/>
        <v>4</v>
      </c>
      <c r="K99" s="55">
        <v>0</v>
      </c>
    </row>
    <row r="100" spans="1:19" ht="39.75" customHeight="1" x14ac:dyDescent="0.25">
      <c r="A100" s="254"/>
      <c r="B100" s="118">
        <v>0</v>
      </c>
      <c r="C100" s="7">
        <f t="shared" si="28"/>
        <v>4</v>
      </c>
      <c r="D100" s="184" t="s">
        <v>309</v>
      </c>
      <c r="E100" s="106">
        <v>1</v>
      </c>
      <c r="F100" s="7">
        <v>4</v>
      </c>
      <c r="G100" s="106">
        <v>0</v>
      </c>
      <c r="H100" s="106">
        <v>0</v>
      </c>
      <c r="I100" s="10" t="str">
        <f t="shared" si="29"/>
        <v>Послуги з обслуговування мережі інтернет за 07.2023 1 послуга</v>
      </c>
      <c r="J100" s="79">
        <f t="shared" si="30"/>
        <v>4</v>
      </c>
      <c r="K100" s="55">
        <v>0</v>
      </c>
    </row>
    <row r="101" spans="1:19" ht="39.75" customHeight="1" x14ac:dyDescent="0.25">
      <c r="A101" s="254"/>
      <c r="B101" s="119">
        <v>0</v>
      </c>
      <c r="C101" s="13">
        <f t="shared" si="28"/>
        <v>1.73</v>
      </c>
      <c r="D101" s="194" t="s">
        <v>113</v>
      </c>
      <c r="E101" s="113">
        <v>1</v>
      </c>
      <c r="F101" s="26">
        <v>1.73</v>
      </c>
      <c r="G101" s="106">
        <v>0</v>
      </c>
      <c r="H101" s="106">
        <v>0</v>
      </c>
      <c r="I101" s="10" t="str">
        <f t="shared" si="29"/>
        <v>Поточний ремонт автомобіля  OPEL Combo</v>
      </c>
      <c r="J101" s="79">
        <f t="shared" si="30"/>
        <v>1.73</v>
      </c>
      <c r="K101" s="55">
        <v>0</v>
      </c>
    </row>
    <row r="102" spans="1:19" ht="39.75" customHeight="1" thickBot="1" x14ac:dyDescent="0.3">
      <c r="A102" s="254"/>
      <c r="B102" s="119">
        <v>0</v>
      </c>
      <c r="C102" s="13">
        <f t="shared" ref="C102" si="31">F100:F102</f>
        <v>2.016</v>
      </c>
      <c r="D102" s="184" t="s">
        <v>310</v>
      </c>
      <c r="E102" s="113">
        <v>1</v>
      </c>
      <c r="F102" s="189">
        <v>2.016</v>
      </c>
      <c r="G102" s="107">
        <v>0</v>
      </c>
      <c r="H102" s="107">
        <v>0</v>
      </c>
      <c r="I102" s="14" t="str">
        <f t="shared" si="29"/>
        <v>Послуга програмного забеспечення HELSI., 1 послуга за 06.23</v>
      </c>
      <c r="J102" s="83">
        <f t="shared" si="30"/>
        <v>2.016</v>
      </c>
      <c r="K102" s="89">
        <v>0</v>
      </c>
    </row>
    <row r="103" spans="1:19" s="6" customFormat="1" ht="51" customHeight="1" x14ac:dyDescent="0.3">
      <c r="A103" s="254"/>
      <c r="B103" s="248" t="s">
        <v>115</v>
      </c>
      <c r="C103" s="249"/>
      <c r="D103" s="249"/>
      <c r="E103" s="250"/>
      <c r="F103" s="23">
        <f>F104+F105</f>
        <v>4.2200000000000006</v>
      </c>
      <c r="G103" s="258" t="s">
        <v>115</v>
      </c>
      <c r="H103" s="259"/>
      <c r="I103" s="260"/>
      <c r="J103" s="84">
        <f>J104+J105</f>
        <v>4.2200000000000006</v>
      </c>
      <c r="K103" s="59">
        <v>0</v>
      </c>
      <c r="L103" s="61"/>
      <c r="M103" s="61"/>
      <c r="N103" s="19"/>
      <c r="O103" s="19"/>
      <c r="P103" s="19"/>
      <c r="Q103" s="19"/>
      <c r="R103" s="19"/>
      <c r="S103" s="61"/>
    </row>
    <row r="104" spans="1:19" ht="29.25" customHeight="1" x14ac:dyDescent="0.25">
      <c r="A104" s="254"/>
      <c r="B104" s="118">
        <v>0</v>
      </c>
      <c r="C104" s="7">
        <f>F100:F104</f>
        <v>1</v>
      </c>
      <c r="D104" s="184" t="s">
        <v>116</v>
      </c>
      <c r="E104" s="106">
        <v>1</v>
      </c>
      <c r="F104" s="191">
        <v>1</v>
      </c>
      <c r="G104" s="106">
        <v>0</v>
      </c>
      <c r="H104" s="106">
        <v>0</v>
      </c>
      <c r="I104" s="10" t="str">
        <f t="shared" si="29"/>
        <v>Послуга з навчання з охорони праці</v>
      </c>
      <c r="J104" s="79">
        <f t="shared" si="30"/>
        <v>1</v>
      </c>
      <c r="K104" s="55">
        <v>0</v>
      </c>
    </row>
    <row r="105" spans="1:19" ht="29.25" customHeight="1" thickBot="1" x14ac:dyDescent="0.3">
      <c r="A105" s="254"/>
      <c r="B105" s="119">
        <v>0</v>
      </c>
      <c r="C105" s="13">
        <f t="shared" si="28"/>
        <v>3.22</v>
      </c>
      <c r="D105" s="182" t="s">
        <v>253</v>
      </c>
      <c r="E105" s="107">
        <v>1</v>
      </c>
      <c r="F105" s="183">
        <v>3.22</v>
      </c>
      <c r="G105" s="107">
        <v>0</v>
      </c>
      <c r="H105" s="107">
        <v>0</v>
      </c>
      <c r="I105" s="14" t="str">
        <f t="shared" si="29"/>
        <v>Послуга з навчання у сфері здійснення публічних закупівель</v>
      </c>
      <c r="J105" s="83">
        <f t="shared" si="30"/>
        <v>3.22</v>
      </c>
      <c r="K105" s="89">
        <v>0</v>
      </c>
    </row>
    <row r="106" spans="1:19" s="27" customFormat="1" ht="38.25" customHeight="1" x14ac:dyDescent="0.25">
      <c r="A106" s="254"/>
      <c r="B106" s="220" t="s">
        <v>117</v>
      </c>
      <c r="C106" s="221"/>
      <c r="D106" s="221"/>
      <c r="E106" s="221"/>
      <c r="F106" s="24">
        <f>F107+F108+F109</f>
        <v>81.221000000000004</v>
      </c>
      <c r="G106" s="221" t="s">
        <v>117</v>
      </c>
      <c r="H106" s="221"/>
      <c r="I106" s="221"/>
      <c r="J106" s="84">
        <f>J107+J108+J109</f>
        <v>81.221000000000004</v>
      </c>
      <c r="K106" s="59">
        <v>0</v>
      </c>
      <c r="L106" s="63"/>
      <c r="M106" s="63"/>
      <c r="N106" s="19"/>
      <c r="O106" s="19"/>
      <c r="P106" s="19"/>
      <c r="Q106" s="19"/>
      <c r="R106" s="19"/>
      <c r="S106" s="63"/>
    </row>
    <row r="107" spans="1:19" ht="28.5" customHeight="1" x14ac:dyDescent="0.25">
      <c r="A107" s="254"/>
      <c r="B107" s="118">
        <v>0</v>
      </c>
      <c r="C107" s="7">
        <f t="shared" ref="C107:C109" si="32">F106:F107</f>
        <v>46.56</v>
      </c>
      <c r="D107" s="177" t="s">
        <v>300</v>
      </c>
      <c r="E107" s="114">
        <v>1</v>
      </c>
      <c r="F107" s="195">
        <v>46.56</v>
      </c>
      <c r="G107" s="106">
        <v>0</v>
      </c>
      <c r="H107" s="106">
        <v>0</v>
      </c>
      <c r="I107" s="10" t="str">
        <f t="shared" ref="I107:I109" si="33">D107</f>
        <v>Монітор медичний для візуалізаціїзображення HD з ендоскопічної камери" NDS Radiance 19"</v>
      </c>
      <c r="J107" s="79">
        <f t="shared" ref="J107:J113" si="34">F107</f>
        <v>46.56</v>
      </c>
      <c r="K107" s="55">
        <v>0</v>
      </c>
    </row>
    <row r="108" spans="1:19" ht="28.5" customHeight="1" x14ac:dyDescent="0.25">
      <c r="A108" s="254"/>
      <c r="B108" s="118">
        <v>0</v>
      </c>
      <c r="C108" s="7">
        <f t="shared" si="32"/>
        <v>12.661</v>
      </c>
      <c r="D108" s="17" t="s">
        <v>119</v>
      </c>
      <c r="E108" s="114">
        <v>1</v>
      </c>
      <c r="F108" s="28">
        <f>12661/1000</f>
        <v>12.661</v>
      </c>
      <c r="G108" s="106">
        <v>0</v>
      </c>
      <c r="H108" s="106">
        <v>0</v>
      </c>
      <c r="I108" s="10" t="str">
        <f t="shared" si="33"/>
        <v>Дисектор біполярний</v>
      </c>
      <c r="J108" s="79">
        <f t="shared" si="34"/>
        <v>12.661</v>
      </c>
      <c r="K108" s="55">
        <v>0</v>
      </c>
    </row>
    <row r="109" spans="1:19" ht="28.5" customHeight="1" thickBot="1" x14ac:dyDescent="0.3">
      <c r="A109" s="255"/>
      <c r="B109" s="120">
        <v>0</v>
      </c>
      <c r="C109" s="20">
        <f t="shared" si="32"/>
        <v>22</v>
      </c>
      <c r="D109" s="36" t="s">
        <v>120</v>
      </c>
      <c r="E109" s="147">
        <v>1</v>
      </c>
      <c r="F109" s="90">
        <f>22000/1000</f>
        <v>22</v>
      </c>
      <c r="G109" s="115">
        <v>0</v>
      </c>
      <c r="H109" s="115">
        <v>0</v>
      </c>
      <c r="I109" s="22" t="str">
        <f t="shared" si="33"/>
        <v>Ноутбук ASUS 515</v>
      </c>
      <c r="J109" s="81">
        <f t="shared" si="34"/>
        <v>22</v>
      </c>
      <c r="K109" s="54">
        <v>0</v>
      </c>
    </row>
    <row r="110" spans="1:19" s="6" customFormat="1" ht="26.25" customHeight="1" x14ac:dyDescent="0.3">
      <c r="A110" s="242" t="s">
        <v>121</v>
      </c>
      <c r="B110" s="220" t="s">
        <v>122</v>
      </c>
      <c r="C110" s="221"/>
      <c r="D110" s="221"/>
      <c r="E110" s="221"/>
      <c r="F110" s="30">
        <f>F111+F112+F113</f>
        <v>32.509</v>
      </c>
      <c r="G110" s="221" t="s">
        <v>122</v>
      </c>
      <c r="H110" s="221"/>
      <c r="I110" s="221"/>
      <c r="J110" s="196">
        <f>J111+J112+J113</f>
        <v>32.509</v>
      </c>
      <c r="K110" s="59">
        <v>0</v>
      </c>
      <c r="L110" s="61"/>
      <c r="M110" s="64"/>
      <c r="N110" s="19"/>
      <c r="O110" s="19"/>
      <c r="P110" s="19"/>
      <c r="Q110" s="19"/>
      <c r="R110" s="19"/>
      <c r="S110" s="61"/>
    </row>
    <row r="111" spans="1:19" s="6" customFormat="1" ht="45" customHeight="1" thickBot="1" x14ac:dyDescent="0.35">
      <c r="A111" s="243"/>
      <c r="B111" s="161">
        <f>-E1020</f>
        <v>0</v>
      </c>
      <c r="C111" s="176">
        <v>36.49</v>
      </c>
      <c r="D111" s="171" t="s">
        <v>263</v>
      </c>
      <c r="E111" s="7">
        <v>2</v>
      </c>
      <c r="F111" s="178">
        <v>32.494</v>
      </c>
      <c r="G111" s="106">
        <v>0</v>
      </c>
      <c r="H111" s="175" t="s">
        <v>266</v>
      </c>
      <c r="I111" s="171" t="s">
        <v>263</v>
      </c>
      <c r="J111" s="81">
        <f t="shared" si="34"/>
        <v>32.494</v>
      </c>
      <c r="K111" s="55">
        <v>0</v>
      </c>
      <c r="L111" s="61"/>
      <c r="M111" s="61"/>
      <c r="N111" s="19"/>
      <c r="O111" s="19"/>
      <c r="P111" s="19"/>
      <c r="Q111" s="19"/>
      <c r="R111" s="19"/>
      <c r="S111" s="61"/>
    </row>
    <row r="112" spans="1:19" s="6" customFormat="1" ht="28.2" customHeight="1" x14ac:dyDescent="0.3">
      <c r="A112" s="243"/>
      <c r="B112" s="118">
        <v>0</v>
      </c>
      <c r="C112" s="173">
        <v>5.0000000000000001E-3</v>
      </c>
      <c r="D112" s="172" t="s">
        <v>264</v>
      </c>
      <c r="E112" s="106">
        <v>5</v>
      </c>
      <c r="F112" s="173">
        <v>5.0000000000000001E-3</v>
      </c>
      <c r="G112" s="106">
        <v>0</v>
      </c>
      <c r="H112" s="106">
        <v>0</v>
      </c>
      <c r="I112" s="10" t="str">
        <f t="shared" ref="I112:I113" si="35">D112</f>
        <v>Прістрій для обігріву новонароджених/ Baby Heater, n/a</v>
      </c>
      <c r="J112" s="79">
        <f t="shared" si="34"/>
        <v>5.0000000000000001E-3</v>
      </c>
      <c r="K112" s="58">
        <v>14.4</v>
      </c>
      <c r="L112" s="61"/>
      <c r="M112" s="61"/>
      <c r="N112" s="19"/>
      <c r="O112" s="19"/>
      <c r="P112" s="19"/>
      <c r="Q112" s="19"/>
      <c r="R112" s="19"/>
      <c r="S112" s="61"/>
    </row>
    <row r="113" spans="1:19" s="6" customFormat="1" ht="28.8" customHeight="1" x14ac:dyDescent="0.3">
      <c r="A113" s="243"/>
      <c r="B113" s="118">
        <v>0</v>
      </c>
      <c r="C113" s="7">
        <v>0.01</v>
      </c>
      <c r="D113" s="171" t="s">
        <v>265</v>
      </c>
      <c r="E113" s="106">
        <v>10</v>
      </c>
      <c r="F113" s="173">
        <v>0.01</v>
      </c>
      <c r="G113" s="106">
        <v>0</v>
      </c>
      <c r="H113" s="106">
        <v>0</v>
      </c>
      <c r="I113" s="10" t="str">
        <f t="shared" si="35"/>
        <v>Ліжка лікарняні/Hospital beds and mattresses for newdoms, n/a</v>
      </c>
      <c r="J113" s="79">
        <f t="shared" si="34"/>
        <v>0.01</v>
      </c>
      <c r="K113" s="58">
        <f t="shared" ref="K113" si="36">F113-J113</f>
        <v>0</v>
      </c>
      <c r="L113" s="61"/>
      <c r="M113" s="61"/>
      <c r="N113" s="19"/>
      <c r="O113" s="19"/>
      <c r="P113" s="19"/>
      <c r="Q113" s="19"/>
      <c r="R113" s="19"/>
      <c r="S113" s="61"/>
    </row>
    <row r="114" spans="1:19" ht="25.5" customHeight="1" x14ac:dyDescent="0.25">
      <c r="A114" s="243"/>
      <c r="B114" s="240" t="s">
        <v>76</v>
      </c>
      <c r="C114" s="241"/>
      <c r="D114" s="241"/>
      <c r="E114" s="241"/>
      <c r="F114" s="91" t="e">
        <f>F115+F133</f>
        <v>#REF!</v>
      </c>
      <c r="G114" s="241" t="s">
        <v>76</v>
      </c>
      <c r="H114" s="241"/>
      <c r="I114" s="241"/>
      <c r="J114" s="97" t="e">
        <f>J115+J133</f>
        <v>#REF!</v>
      </c>
      <c r="K114" s="92">
        <f>K115+K133</f>
        <v>217.39094399999999</v>
      </c>
    </row>
    <row r="115" spans="1:19" s="19" customFormat="1" ht="34.5" customHeight="1" x14ac:dyDescent="0.25">
      <c r="A115" s="243"/>
      <c r="B115" s="251" t="s">
        <v>77</v>
      </c>
      <c r="C115" s="252"/>
      <c r="D115" s="252"/>
      <c r="E115" s="252"/>
      <c r="F115" s="32" t="e">
        <f>F116+F117+F118+F119+F120+F121+F122+F123+F124+F125+F126+F127+F128+F129+F130+F131+F132+#REF!+#REF!+#REF!+#REF!+#REF!</f>
        <v>#REF!</v>
      </c>
      <c r="G115" s="252" t="s">
        <v>77</v>
      </c>
      <c r="H115" s="252"/>
      <c r="I115" s="252"/>
      <c r="J115" s="85" t="e">
        <f>J116+J117+J118+J119+J120+J121+J122+J123+J124+J125+J126+J127+J128+J129+J130+J131+J132+#REF!+#REF!+#REF!+#REF!+#REF!</f>
        <v>#REF!</v>
      </c>
      <c r="K115" s="55">
        <f>SUM(K116:K132)</f>
        <v>109.08100000000002</v>
      </c>
    </row>
    <row r="116" spans="1:19" s="19" customFormat="1" ht="34.5" customHeight="1" x14ac:dyDescent="0.25">
      <c r="A116" s="243"/>
      <c r="B116" s="118">
        <v>0</v>
      </c>
      <c r="C116" s="7">
        <f>F114:F116</f>
        <v>2.3130000000000002</v>
      </c>
      <c r="D116" s="174" t="s">
        <v>267</v>
      </c>
      <c r="E116" s="39">
        <v>80</v>
      </c>
      <c r="F116" s="173">
        <v>2.3130000000000002</v>
      </c>
      <c r="G116" s="106">
        <v>0</v>
      </c>
      <c r="H116" s="106">
        <v>0</v>
      </c>
      <c r="I116" s="10" t="str">
        <f t="shared" ref="I116:I132" si="37">D116</f>
        <v>Комбінації електролітів / Deitajonin 500ml №10 Exp.date 03.2026  500ml</v>
      </c>
      <c r="J116" s="71">
        <f t="shared" ref="J116:J171" si="38">F116-K116</f>
        <v>2.113</v>
      </c>
      <c r="K116" s="55">
        <v>0.2</v>
      </c>
    </row>
    <row r="117" spans="1:19" s="19" customFormat="1" ht="81" customHeight="1" x14ac:dyDescent="0.25">
      <c r="A117" s="243"/>
      <c r="B117" s="118">
        <v>0</v>
      </c>
      <c r="C117" s="7">
        <f t="shared" ref="C117:C132" si="39">F116:F117</f>
        <v>3.4009999999999998</v>
      </c>
      <c r="D117" s="177" t="s">
        <v>268</v>
      </c>
      <c r="E117" s="39">
        <v>500</v>
      </c>
      <c r="F117" s="173">
        <v>3.4009999999999998</v>
      </c>
      <c r="G117" s="106">
        <v>0</v>
      </c>
      <c r="H117" s="106">
        <v>0</v>
      </c>
      <c r="I117" s="10" t="str">
        <f t="shared" si="37"/>
        <v xml:space="preserve">Рукавички оглядові нестерильні, різних розмірів/Gloves, dishjisable, non-sterile, powder-free, розмір М №100 в упаковці Exp.date 31.12.2025 n/a </v>
      </c>
      <c r="J117" s="71">
        <f t="shared" si="38"/>
        <v>3.391</v>
      </c>
      <c r="K117" s="55">
        <v>0.01</v>
      </c>
    </row>
    <row r="118" spans="1:19" s="19" customFormat="1" ht="79.8" customHeight="1" x14ac:dyDescent="0.25">
      <c r="A118" s="243"/>
      <c r="B118" s="118">
        <v>0</v>
      </c>
      <c r="C118" s="7">
        <f t="shared" si="39"/>
        <v>5.4420000000000002</v>
      </c>
      <c r="D118" s="177" t="s">
        <v>269</v>
      </c>
      <c r="E118" s="39">
        <v>800</v>
      </c>
      <c r="F118" s="12">
        <v>5.4420000000000002</v>
      </c>
      <c r="G118" s="106">
        <v>0</v>
      </c>
      <c r="H118" s="106">
        <v>0</v>
      </c>
      <c r="I118" s="10" t="str">
        <f t="shared" si="37"/>
        <v xml:space="preserve">Рукавички оглядові нестерильні, різних розмірів/Gloves, dishjisable, non-sterile, powder-free, розмір L №200 в упаковці Exp.date 31.03.2024 n/a </v>
      </c>
      <c r="J118" s="71">
        <f t="shared" si="38"/>
        <v>5.4420000000000002</v>
      </c>
      <c r="K118" s="55">
        <v>0</v>
      </c>
    </row>
    <row r="119" spans="1:19" s="19" customFormat="1" ht="72" customHeight="1" x14ac:dyDescent="0.25">
      <c r="A119" s="243"/>
      <c r="B119" s="118">
        <v>0</v>
      </c>
      <c r="C119" s="12">
        <f t="shared" si="39"/>
        <v>3.6059999999999999</v>
      </c>
      <c r="D119" s="177" t="s">
        <v>270</v>
      </c>
      <c r="E119" s="39">
        <v>1000</v>
      </c>
      <c r="F119" s="12">
        <v>3.6059999999999999</v>
      </c>
      <c r="G119" s="106">
        <v>0</v>
      </c>
      <c r="H119" s="106">
        <v>0</v>
      </c>
      <c r="I119" s="10" t="str">
        <f t="shared" si="37"/>
        <v xml:space="preserve">Натрій хлорід Sobium Ghloride IBE 9mg/ml solvent for parenteral use 5ml №10 в упаковці .Exp.date 31.03.2025 9mg/ml </v>
      </c>
      <c r="J119" s="67">
        <f>F119-K119</f>
        <v>0</v>
      </c>
      <c r="K119" s="68">
        <f>F119</f>
        <v>3.6059999999999999</v>
      </c>
    </row>
    <row r="120" spans="1:19" s="19" customFormat="1" ht="67.8" customHeight="1" x14ac:dyDescent="0.25">
      <c r="A120" s="243"/>
      <c r="B120" s="118">
        <v>0</v>
      </c>
      <c r="C120" s="12">
        <f t="shared" si="39"/>
        <v>1.927</v>
      </c>
      <c r="D120" s="177" t="s">
        <v>271</v>
      </c>
      <c r="E120" s="39">
        <v>100</v>
      </c>
      <c r="F120" s="12">
        <v>1.927</v>
      </c>
      <c r="G120" s="106">
        <v>0</v>
      </c>
      <c r="H120" s="106">
        <v>0</v>
      </c>
      <c r="I120" s="10" t="str">
        <f t="shared" si="37"/>
        <v xml:space="preserve">Глюкоза/Glucose B/Braun (monohydrate) 50mg/ml (5%) infusion solution 500ml №10 в упаковці.Exp.date 30.09.2024 5% </v>
      </c>
      <c r="J120" s="67">
        <f t="shared" si="38"/>
        <v>1.9180000000000001</v>
      </c>
      <c r="K120" s="68">
        <v>8.9999999999999993E-3</v>
      </c>
    </row>
    <row r="121" spans="1:19" s="19" customFormat="1" ht="52.5" customHeight="1" x14ac:dyDescent="0.25">
      <c r="A121" s="243"/>
      <c r="B121" s="118">
        <v>0</v>
      </c>
      <c r="C121" s="12">
        <f t="shared" si="39"/>
        <v>40</v>
      </c>
      <c r="D121" s="177" t="s">
        <v>272</v>
      </c>
      <c r="E121" s="39">
        <v>40000</v>
      </c>
      <c r="F121" s="12">
        <v>40</v>
      </c>
      <c r="G121" s="106">
        <v>0</v>
      </c>
      <c r="H121" s="106">
        <v>0</v>
      </c>
      <c r="I121" s="10" t="str">
        <f t="shared" si="37"/>
        <v>Воріконазол/Voriconazolo Mylan 200mg №28 в упаковці Exp.date 08.2025 5%  n/a</v>
      </c>
      <c r="J121" s="67">
        <f t="shared" si="38"/>
        <v>39.994999999999997</v>
      </c>
      <c r="K121" s="68">
        <v>5.0000000000000001E-3</v>
      </c>
    </row>
    <row r="122" spans="1:19" s="19" customFormat="1" ht="52.5" customHeight="1" x14ac:dyDescent="0.25">
      <c r="A122" s="243"/>
      <c r="B122" s="118">
        <v>0</v>
      </c>
      <c r="C122" s="12">
        <f t="shared" si="39"/>
        <v>0.5</v>
      </c>
      <c r="D122" s="177" t="s">
        <v>273</v>
      </c>
      <c r="E122" s="39">
        <v>500</v>
      </c>
      <c r="F122" s="12">
        <v>0.5</v>
      </c>
      <c r="G122" s="106">
        <v>0</v>
      </c>
      <c r="H122" s="106">
        <v>0</v>
      </c>
      <c r="I122" s="10" t="str">
        <f t="shared" si="37"/>
        <v>Медичні маски/Procedure Mask №500 в коробці. Exp.date 07.2025 5%  n/a</v>
      </c>
      <c r="J122" s="67">
        <f t="shared" si="38"/>
        <v>0.48699999999999999</v>
      </c>
      <c r="K122" s="68">
        <v>1.2999999999999999E-2</v>
      </c>
    </row>
    <row r="123" spans="1:19" s="19" customFormat="1" ht="52.5" customHeight="1" x14ac:dyDescent="0.25">
      <c r="A123" s="243"/>
      <c r="B123" s="118">
        <v>0</v>
      </c>
      <c r="C123" s="12">
        <f t="shared" si="39"/>
        <v>4.484</v>
      </c>
      <c r="D123" s="177" t="s">
        <v>279</v>
      </c>
      <c r="E123" s="39">
        <v>10</v>
      </c>
      <c r="F123" s="12">
        <v>4.484</v>
      </c>
      <c r="G123" s="106">
        <v>0</v>
      </c>
      <c r="H123" s="106">
        <v>0</v>
      </c>
      <c r="I123" s="10" t="str">
        <f t="shared" si="37"/>
        <v>Термометр медичний інфракрасний лобний, шт</v>
      </c>
      <c r="J123" s="67">
        <f t="shared" si="38"/>
        <v>4.4749999999999996</v>
      </c>
      <c r="K123" s="68">
        <v>8.9999999999999993E-3</v>
      </c>
    </row>
    <row r="124" spans="1:19" s="19" customFormat="1" ht="52.5" customHeight="1" x14ac:dyDescent="0.25">
      <c r="A124" s="243"/>
      <c r="B124" s="118">
        <v>0</v>
      </c>
      <c r="C124" s="7">
        <f t="shared" si="39"/>
        <v>0.15</v>
      </c>
      <c r="D124" s="177" t="s">
        <v>280</v>
      </c>
      <c r="E124" s="39">
        <v>150</v>
      </c>
      <c r="F124" s="173">
        <v>0.15</v>
      </c>
      <c r="G124" s="106">
        <v>0</v>
      </c>
      <c r="H124" s="106">
        <v>0</v>
      </c>
      <c r="I124" s="10" t="str">
        <f t="shared" si="37"/>
        <v>Антисептик DES 62 флакон</v>
      </c>
      <c r="J124" s="71">
        <f t="shared" si="38"/>
        <v>0</v>
      </c>
      <c r="K124" s="69">
        <f>F124</f>
        <v>0.15</v>
      </c>
    </row>
    <row r="125" spans="1:19" s="19" customFormat="1" ht="52.5" customHeight="1" x14ac:dyDescent="0.25">
      <c r="A125" s="243"/>
      <c r="B125" s="118">
        <v>0</v>
      </c>
      <c r="C125" s="7">
        <f t="shared" si="39"/>
        <v>29</v>
      </c>
      <c r="D125" s="177" t="s">
        <v>281</v>
      </c>
      <c r="E125" s="39">
        <v>29000</v>
      </c>
      <c r="F125" s="173">
        <v>29</v>
      </c>
      <c r="G125" s="106">
        <v>0</v>
      </c>
      <c r="H125" s="106">
        <v>0</v>
      </c>
      <c r="I125" s="10" t="str">
        <f t="shared" si="37"/>
        <v>Рукавиці оглядові нестерильні, шт</v>
      </c>
      <c r="J125" s="71">
        <f t="shared" si="38"/>
        <v>0</v>
      </c>
      <c r="K125" s="69">
        <f>F125</f>
        <v>29</v>
      </c>
    </row>
    <row r="126" spans="1:19" s="19" customFormat="1" ht="52.5" customHeight="1" x14ac:dyDescent="0.25">
      <c r="A126" s="243"/>
      <c r="B126" s="118">
        <v>0</v>
      </c>
      <c r="C126" s="7">
        <f t="shared" si="39"/>
        <v>20</v>
      </c>
      <c r="D126" s="177" t="s">
        <v>282</v>
      </c>
      <c r="E126" s="39">
        <v>20000</v>
      </c>
      <c r="F126" s="173">
        <v>20</v>
      </c>
      <c r="G126" s="106">
        <v>0</v>
      </c>
      <c r="H126" s="106">
        <v>0</v>
      </c>
      <c r="I126" s="10" t="str">
        <f t="shared" si="37"/>
        <v>Рукавиці оглядові нестерильні, шт.</v>
      </c>
      <c r="J126" s="71">
        <f t="shared" si="38"/>
        <v>-49.97</v>
      </c>
      <c r="K126" s="55">
        <v>69.97</v>
      </c>
    </row>
    <row r="127" spans="1:19" s="19" customFormat="1" ht="25.5" customHeight="1" x14ac:dyDescent="0.25">
      <c r="A127" s="243"/>
      <c r="B127" s="118">
        <v>0</v>
      </c>
      <c r="C127" s="7">
        <f t="shared" si="39"/>
        <v>20</v>
      </c>
      <c r="D127" s="177" t="s">
        <v>281</v>
      </c>
      <c r="E127" s="39">
        <v>20000</v>
      </c>
      <c r="F127" s="192">
        <v>20</v>
      </c>
      <c r="G127" s="106">
        <v>0</v>
      </c>
      <c r="H127" s="106">
        <v>0</v>
      </c>
      <c r="I127" s="10" t="str">
        <f t="shared" si="37"/>
        <v>Рукавиці оглядові нестерильні, шт</v>
      </c>
      <c r="J127" s="71">
        <f t="shared" si="38"/>
        <v>19.21</v>
      </c>
      <c r="K127" s="55">
        <v>0.79</v>
      </c>
    </row>
    <row r="128" spans="1:19" s="19" customFormat="1" ht="25.5" customHeight="1" x14ac:dyDescent="0.25">
      <c r="A128" s="243"/>
      <c r="B128" s="118">
        <v>0</v>
      </c>
      <c r="C128" s="7">
        <f t="shared" si="39"/>
        <v>40</v>
      </c>
      <c r="D128" s="177" t="s">
        <v>282</v>
      </c>
      <c r="E128" s="39">
        <v>40000</v>
      </c>
      <c r="F128" s="173">
        <v>40</v>
      </c>
      <c r="G128" s="106">
        <v>0</v>
      </c>
      <c r="H128" s="106">
        <v>0</v>
      </c>
      <c r="I128" s="10" t="str">
        <f t="shared" si="37"/>
        <v>Рукавиці оглядові нестерильні, шт.</v>
      </c>
      <c r="J128" s="71">
        <f t="shared" si="38"/>
        <v>39.5</v>
      </c>
      <c r="K128" s="70">
        <v>0.5</v>
      </c>
    </row>
    <row r="129" spans="1:11" s="19" customFormat="1" ht="35.25" customHeight="1" x14ac:dyDescent="0.25">
      <c r="A129" s="243"/>
      <c r="B129" s="118">
        <v>0</v>
      </c>
      <c r="C129" s="7">
        <f t="shared" si="39"/>
        <v>0.01</v>
      </c>
      <c r="D129" s="177" t="s">
        <v>283</v>
      </c>
      <c r="E129" s="39">
        <v>10</v>
      </c>
      <c r="F129" s="173">
        <v>0.01</v>
      </c>
      <c r="G129" s="106">
        <v>0</v>
      </c>
      <c r="H129" s="106">
        <v>0</v>
      </c>
      <c r="I129" s="10" t="str">
        <f t="shared" si="37"/>
        <v>Оксаліплатин 100мг 20мл флак.</v>
      </c>
      <c r="J129" s="71">
        <f t="shared" si="38"/>
        <v>-0.19</v>
      </c>
      <c r="K129" s="70">
        <v>0.2</v>
      </c>
    </row>
    <row r="130" spans="1:11" s="19" customFormat="1" ht="41.25" customHeight="1" x14ac:dyDescent="0.25">
      <c r="A130" s="243"/>
      <c r="B130" s="118">
        <v>0</v>
      </c>
      <c r="C130" s="7">
        <f t="shared" si="39"/>
        <v>634.14400000000001</v>
      </c>
      <c r="D130" s="177" t="s">
        <v>284</v>
      </c>
      <c r="E130" s="39">
        <v>280</v>
      </c>
      <c r="F130" s="173">
        <v>634.14400000000001</v>
      </c>
      <c r="G130" s="106">
        <v>0</v>
      </c>
      <c r="H130" s="106">
        <v>0</v>
      </c>
      <c r="I130" s="10" t="str">
        <f t="shared" si="37"/>
        <v>Флукодифлюкан 200мг таб</v>
      </c>
      <c r="J130" s="71">
        <f t="shared" si="38"/>
        <v>633.85400000000004</v>
      </c>
      <c r="K130" s="72">
        <v>0.28999999999999998</v>
      </c>
    </row>
    <row r="131" spans="1:11" s="19" customFormat="1" ht="25.5" customHeight="1" x14ac:dyDescent="0.25">
      <c r="A131" s="243"/>
      <c r="B131" s="118">
        <v>0</v>
      </c>
      <c r="C131" s="7">
        <f t="shared" si="39"/>
        <v>271.33999999999997</v>
      </c>
      <c r="D131" s="177" t="s">
        <v>285</v>
      </c>
      <c r="E131" s="39">
        <v>500</v>
      </c>
      <c r="F131" s="173">
        <v>271.33999999999997</v>
      </c>
      <c r="G131" s="106">
        <v>0</v>
      </c>
      <c r="H131" s="106">
        <v>0</v>
      </c>
      <c r="I131" s="10" t="str">
        <f t="shared" si="37"/>
        <v>Моксифлоксацин400мг/250мл флак.</v>
      </c>
      <c r="J131" s="71">
        <f t="shared" si="38"/>
        <v>267.01099999999997</v>
      </c>
      <c r="K131" s="72">
        <v>4.3289999999999997</v>
      </c>
    </row>
    <row r="132" spans="1:11" s="19" customFormat="1" ht="30" customHeight="1" thickBot="1" x14ac:dyDescent="0.3">
      <c r="A132" s="243"/>
      <c r="B132" s="118">
        <v>0</v>
      </c>
      <c r="C132" s="7">
        <f t="shared" si="39"/>
        <v>1E-3</v>
      </c>
      <c r="D132" s="177" t="s">
        <v>303</v>
      </c>
      <c r="E132" s="39">
        <v>1</v>
      </c>
      <c r="F132" s="173">
        <v>1E-3</v>
      </c>
      <c r="G132" s="106">
        <v>0</v>
      </c>
      <c r="H132" s="106">
        <v>0</v>
      </c>
      <c r="I132" s="10" t="str">
        <f t="shared" si="37"/>
        <v>Зовнішний електрод до дефібрилятора, шт</v>
      </c>
      <c r="J132" s="71">
        <f t="shared" si="38"/>
        <v>1E-3</v>
      </c>
      <c r="K132" s="70">
        <v>0</v>
      </c>
    </row>
    <row r="133" spans="1:11" s="19" customFormat="1" ht="51.75" customHeight="1" x14ac:dyDescent="0.25">
      <c r="A133" s="242" t="s">
        <v>217</v>
      </c>
      <c r="B133" s="245" t="s">
        <v>77</v>
      </c>
      <c r="C133" s="246"/>
      <c r="D133" s="246"/>
      <c r="E133" s="246"/>
      <c r="F133" s="23">
        <f>F134+F135+F136+F137+F138+F139+F140+F141+F142+F143+F144+F145+F146+F147+F148+F149+F150+F151+F152+F153+F154+F155+F156+F157+F158+F159+F160+F161+F162+F163+F164+F165+F166+F167+F168+F169+F170+F171+F172+F173</f>
        <v>147.41654400000002</v>
      </c>
      <c r="G133" s="247" t="s">
        <v>77</v>
      </c>
      <c r="H133" s="247"/>
      <c r="I133" s="247"/>
      <c r="J133" s="75">
        <f>J134+J135+J136+J137+J138+J139+J140+J141+J142+J143+J144+J145+J146+J147+J148+J149+J150+J151+J152+J153+J154+J155+J156+J157+J158+J159+J160+J161+J162+J163+J164+J165+J166+J167+J168+J169+J170+J171+J172+J173</f>
        <v>39.106600000000007</v>
      </c>
      <c r="K133" s="148">
        <f>SUM(K134:K173)</f>
        <v>108.30994399999999</v>
      </c>
    </row>
    <row r="134" spans="1:11" s="19" customFormat="1" ht="39" customHeight="1" x14ac:dyDescent="0.25">
      <c r="A134" s="243"/>
      <c r="B134" s="118">
        <v>1</v>
      </c>
      <c r="C134" s="33">
        <f>F133:F134</f>
        <v>0.2</v>
      </c>
      <c r="D134" s="17" t="s">
        <v>148</v>
      </c>
      <c r="E134" s="39">
        <v>200</v>
      </c>
      <c r="F134" s="33">
        <f>200/1000</f>
        <v>0.2</v>
      </c>
      <c r="G134" s="106">
        <v>0</v>
      </c>
      <c r="H134" s="106">
        <v>0</v>
      </c>
      <c r="I134" s="10" t="str">
        <f t="shared" ref="I134:I173" si="40">D134</f>
        <v>Витратні матеріали / Подовжувач інфузійний / BD Alaris 200cm 1,5ml, шт.</v>
      </c>
      <c r="J134" s="71">
        <f t="shared" si="38"/>
        <v>0</v>
      </c>
      <c r="K134" s="69">
        <v>0.2</v>
      </c>
    </row>
    <row r="135" spans="1:11" s="19" customFormat="1" ht="39" customHeight="1" x14ac:dyDescent="0.25">
      <c r="A135" s="243"/>
      <c r="B135" s="118">
        <v>1</v>
      </c>
      <c r="C135" s="33">
        <f t="shared" ref="C135:C173" si="41">F134:F135</f>
        <v>1.2</v>
      </c>
      <c r="D135" s="17" t="s">
        <v>149</v>
      </c>
      <c r="E135" s="39">
        <v>1200</v>
      </c>
      <c r="F135" s="33">
        <f>1200/1000</f>
        <v>1.2</v>
      </c>
      <c r="G135" s="106">
        <v>0</v>
      </c>
      <c r="H135" s="106">
        <v>0</v>
      </c>
      <c r="I135" s="10" t="str">
        <f t="shared" si="40"/>
        <v>Витратні матеріали / Шапочка мед.одноразова, синього кольору, шт.</v>
      </c>
      <c r="J135" s="66">
        <f t="shared" si="38"/>
        <v>5.4999999999999938E-2</v>
      </c>
      <c r="K135" s="69">
        <v>1.145</v>
      </c>
    </row>
    <row r="136" spans="1:11" s="19" customFormat="1" ht="39" customHeight="1" x14ac:dyDescent="0.25">
      <c r="A136" s="243"/>
      <c r="B136" s="118">
        <v>1</v>
      </c>
      <c r="C136" s="33">
        <f t="shared" si="41"/>
        <v>0.28000000000000003</v>
      </c>
      <c r="D136" s="17" t="s">
        <v>150</v>
      </c>
      <c r="E136" s="39">
        <v>280</v>
      </c>
      <c r="F136" s="33">
        <f>280/1000</f>
        <v>0.28000000000000003</v>
      </c>
      <c r="G136" s="106">
        <v>0</v>
      </c>
      <c r="H136" s="106">
        <v>0</v>
      </c>
      <c r="I136" s="10" t="str">
        <f t="shared" si="40"/>
        <v>Ривароксабан / Ксарелто табл.в/о 20мг, табл.</v>
      </c>
      <c r="J136" s="71">
        <f t="shared" si="38"/>
        <v>0</v>
      </c>
      <c r="K136" s="69">
        <v>0.28000000000000003</v>
      </c>
    </row>
    <row r="137" spans="1:11" s="19" customFormat="1" ht="39" customHeight="1" x14ac:dyDescent="0.25">
      <c r="A137" s="243"/>
      <c r="B137" s="118">
        <v>1</v>
      </c>
      <c r="C137" s="33">
        <f t="shared" si="41"/>
        <v>0.155</v>
      </c>
      <c r="D137" s="17" t="s">
        <v>151</v>
      </c>
      <c r="E137" s="39">
        <v>155</v>
      </c>
      <c r="F137" s="33">
        <f>155/1000</f>
        <v>0.155</v>
      </c>
      <c r="G137" s="106">
        <v>0</v>
      </c>
      <c r="H137" s="106">
        <v>0</v>
      </c>
      <c r="I137" s="10" t="str">
        <f t="shared" si="40"/>
        <v>Пропофол / Diprivan 1% 20мл, флак.</v>
      </c>
      <c r="J137" s="66">
        <f t="shared" si="38"/>
        <v>6.6000000000000003E-2</v>
      </c>
      <c r="K137" s="69">
        <v>8.8999999999999996E-2</v>
      </c>
    </row>
    <row r="138" spans="1:11" s="19" customFormat="1" ht="39" customHeight="1" x14ac:dyDescent="0.25">
      <c r="A138" s="243"/>
      <c r="B138" s="118">
        <v>1</v>
      </c>
      <c r="C138" s="33">
        <f t="shared" si="41"/>
        <v>0.1</v>
      </c>
      <c r="D138" s="17" t="s">
        <v>152</v>
      </c>
      <c r="E138" s="39">
        <v>100</v>
      </c>
      <c r="F138" s="33">
        <f>100/1000</f>
        <v>0.1</v>
      </c>
      <c r="G138" s="106">
        <v>0</v>
      </c>
      <c r="H138" s="106">
        <v>0</v>
      </c>
      <c r="I138" s="10" t="str">
        <f t="shared" si="40"/>
        <v>Бупівакаїн / Маркаїн розчин д.ін 5мг/мл 20мл, амп.</v>
      </c>
      <c r="J138" s="71">
        <f t="shared" si="38"/>
        <v>0</v>
      </c>
      <c r="K138" s="69">
        <v>0.1</v>
      </c>
    </row>
    <row r="139" spans="1:11" s="19" customFormat="1" ht="39" customHeight="1" x14ac:dyDescent="0.25">
      <c r="A139" s="243"/>
      <c r="B139" s="118">
        <v>1</v>
      </c>
      <c r="C139" s="33">
        <f t="shared" si="41"/>
        <v>1.8</v>
      </c>
      <c r="D139" s="17" t="s">
        <v>153</v>
      </c>
      <c r="E139" s="39">
        <v>1800</v>
      </c>
      <c r="F139" s="33">
        <f>1800/1000</f>
        <v>1.8</v>
      </c>
      <c r="G139" s="106">
        <v>0</v>
      </c>
      <c r="H139" s="106">
        <v>0</v>
      </c>
      <c r="I139" s="10" t="str">
        <f t="shared" si="40"/>
        <v>Шприци з голками (різного обсягу) / Шприци 5мл, шт.</v>
      </c>
      <c r="J139" s="71">
        <f t="shared" si="38"/>
        <v>0</v>
      </c>
      <c r="K139" s="69">
        <v>1.8</v>
      </c>
    </row>
    <row r="140" spans="1:11" s="19" customFormat="1" ht="45.75" customHeight="1" x14ac:dyDescent="0.25">
      <c r="A140" s="243"/>
      <c r="B140" s="118">
        <v>1</v>
      </c>
      <c r="C140" s="33">
        <f t="shared" si="41"/>
        <v>0.4</v>
      </c>
      <c r="D140" s="17" t="s">
        <v>154</v>
      </c>
      <c r="E140" s="39">
        <v>400</v>
      </c>
      <c r="F140" s="33">
        <f>400/1000</f>
        <v>0.4</v>
      </c>
      <c r="G140" s="106">
        <v>0</v>
      </c>
      <c r="H140" s="106">
        <v>0</v>
      </c>
      <c r="I140" s="10" t="str">
        <f t="shared" si="40"/>
        <v>Крапельниці та катетери / Закрита катетерна система 20GA  1,25IN, 1,1x32mm, шт.</v>
      </c>
      <c r="J140" s="71">
        <f t="shared" si="38"/>
        <v>0</v>
      </c>
      <c r="K140" s="69">
        <v>0.4</v>
      </c>
    </row>
    <row r="141" spans="1:11" s="19" customFormat="1" ht="42" customHeight="1" x14ac:dyDescent="0.25">
      <c r="A141" s="243"/>
      <c r="B141" s="118">
        <v>1</v>
      </c>
      <c r="C141" s="33">
        <f t="shared" si="41"/>
        <v>0.05</v>
      </c>
      <c r="D141" s="17" t="s">
        <v>155</v>
      </c>
      <c r="E141" s="39">
        <v>50</v>
      </c>
      <c r="F141" s="33">
        <f>50/1000</f>
        <v>0.05</v>
      </c>
      <c r="G141" s="106">
        <v>0</v>
      </c>
      <c r="H141" s="106">
        <v>0</v>
      </c>
      <c r="I141" s="10" t="str">
        <f t="shared" si="40"/>
        <v>Катетери для периферичних вен (різних розмірів) / Внутрішньовенний катетер з захисною плівкою 1,8х45мм 16G, шт.</v>
      </c>
      <c r="J141" s="71">
        <f t="shared" si="38"/>
        <v>0</v>
      </c>
      <c r="K141" s="69">
        <v>0.05</v>
      </c>
    </row>
    <row r="142" spans="1:11" s="19" customFormat="1" ht="30.75" customHeight="1" x14ac:dyDescent="0.25">
      <c r="A142" s="243"/>
      <c r="B142" s="118">
        <v>1</v>
      </c>
      <c r="C142" s="33">
        <f t="shared" si="41"/>
        <v>8.9348399999999994</v>
      </c>
      <c r="D142" s="17" t="s">
        <v>156</v>
      </c>
      <c r="E142" s="39">
        <v>540</v>
      </c>
      <c r="F142" s="33">
        <f>8934.84/1000</f>
        <v>8.9348399999999994</v>
      </c>
      <c r="G142" s="106">
        <v>0</v>
      </c>
      <c r="H142" s="106">
        <v>0</v>
      </c>
      <c r="I142" s="10" t="str">
        <f t="shared" si="40"/>
        <v>Підгузки дорослі / Підгузки для дорослих, розмір XL, шт.</v>
      </c>
      <c r="J142" s="71">
        <f t="shared" si="38"/>
        <v>0</v>
      </c>
      <c r="K142" s="69">
        <f>F142</f>
        <v>8.9348399999999994</v>
      </c>
    </row>
    <row r="143" spans="1:11" s="19" customFormat="1" ht="30.75" customHeight="1" x14ac:dyDescent="0.25">
      <c r="A143" s="243"/>
      <c r="B143" s="118">
        <v>1</v>
      </c>
      <c r="C143" s="33">
        <f t="shared" si="41"/>
        <v>8.4931200000000011</v>
      </c>
      <c r="D143" s="17" t="s">
        <v>157</v>
      </c>
      <c r="E143" s="39">
        <v>480</v>
      </c>
      <c r="F143" s="33">
        <f>8493.12/1000</f>
        <v>8.4931200000000011</v>
      </c>
      <c r="G143" s="106">
        <v>0</v>
      </c>
      <c r="H143" s="106">
        <v>0</v>
      </c>
      <c r="I143" s="10" t="str">
        <f t="shared" si="40"/>
        <v>Підгузки дорослі / Підгузки для дорослих, розмір L, шт.</v>
      </c>
      <c r="J143" s="71">
        <f t="shared" si="38"/>
        <v>0</v>
      </c>
      <c r="K143" s="69">
        <f>F143</f>
        <v>8.4931200000000011</v>
      </c>
    </row>
    <row r="144" spans="1:11" s="19" customFormat="1" ht="43.5" customHeight="1" x14ac:dyDescent="0.25">
      <c r="A144" s="243"/>
      <c r="B144" s="118">
        <v>1</v>
      </c>
      <c r="C144" s="33">
        <f t="shared" si="41"/>
        <v>0.93620000000000003</v>
      </c>
      <c r="D144" s="17" t="s">
        <v>158</v>
      </c>
      <c r="E144" s="39">
        <v>2000</v>
      </c>
      <c r="F144" s="33">
        <f>936.2/1000</f>
        <v>0.93620000000000003</v>
      </c>
      <c r="G144" s="106">
        <v>0</v>
      </c>
      <c r="H144" s="106">
        <v>0</v>
      </c>
      <c r="I144" s="10" t="str">
        <f t="shared" si="40"/>
        <v>Залізо, вітамін В12 та фолієва кислота / Ferrous salt 60mg iron / Folic acid 0,4mg табл.</v>
      </c>
      <c r="J144" s="66">
        <f t="shared" si="38"/>
        <v>0.43620000000000003</v>
      </c>
      <c r="K144" s="69">
        <v>0.5</v>
      </c>
    </row>
    <row r="145" spans="1:11" s="19" customFormat="1" ht="30.75" customHeight="1" x14ac:dyDescent="0.25">
      <c r="A145" s="243"/>
      <c r="B145" s="118">
        <v>1</v>
      </c>
      <c r="C145" s="33">
        <f t="shared" si="41"/>
        <v>30.794400000000003</v>
      </c>
      <c r="D145" s="17" t="s">
        <v>159</v>
      </c>
      <c r="E145" s="39">
        <v>140</v>
      </c>
      <c r="F145" s="33">
        <f>30794.4/1000</f>
        <v>30.794400000000003</v>
      </c>
      <c r="G145" s="106">
        <v>0</v>
      </c>
      <c r="H145" s="106">
        <v>0</v>
      </c>
      <c r="I145" s="10" t="str">
        <f t="shared" si="40"/>
        <v>Норетинодрел та естроген / LOESTRIN FE 1,5mg-0,03mg, табл.</v>
      </c>
      <c r="J145" s="66">
        <f t="shared" si="38"/>
        <v>30.794400000000003</v>
      </c>
      <c r="K145" s="69">
        <v>0</v>
      </c>
    </row>
    <row r="146" spans="1:11" s="19" customFormat="1" ht="30.75" customHeight="1" x14ac:dyDescent="0.25">
      <c r="A146" s="243"/>
      <c r="B146" s="118">
        <v>1</v>
      </c>
      <c r="C146" s="33">
        <f t="shared" si="41"/>
        <v>10.861000000000001</v>
      </c>
      <c r="D146" s="17" t="s">
        <v>160</v>
      </c>
      <c r="E146" s="39">
        <v>100</v>
      </c>
      <c r="F146" s="33">
        <f>10861/1000</f>
        <v>10.861000000000001</v>
      </c>
      <c r="G146" s="106">
        <v>0</v>
      </c>
      <c r="H146" s="106">
        <v>0</v>
      </c>
      <c r="I146" s="10" t="str">
        <f t="shared" si="40"/>
        <v>Окуляри захисні / Захисні окуляри з еластичною пов'язкою на голову, шт.</v>
      </c>
      <c r="J146" s="66">
        <f t="shared" si="38"/>
        <v>0.39100000000000001</v>
      </c>
      <c r="K146" s="69">
        <v>10.47</v>
      </c>
    </row>
    <row r="147" spans="1:11" s="19" customFormat="1" ht="40.5" customHeight="1" x14ac:dyDescent="0.25">
      <c r="A147" s="243"/>
      <c r="B147" s="118">
        <v>1</v>
      </c>
      <c r="C147" s="33">
        <f t="shared" si="41"/>
        <v>5.4450000000000003</v>
      </c>
      <c r="D147" s="17" t="s">
        <v>161</v>
      </c>
      <c r="E147" s="39">
        <v>900</v>
      </c>
      <c r="F147" s="33">
        <f>5445/1000</f>
        <v>5.4450000000000003</v>
      </c>
      <c r="G147" s="106">
        <v>0</v>
      </c>
      <c r="H147" s="106">
        <v>0</v>
      </c>
      <c r="I147" s="10" t="str">
        <f t="shared" si="40"/>
        <v>Шприци з голками (різного обсягу) / Шприц з безпечною голкою 25G х 1", шт.</v>
      </c>
      <c r="J147" s="71">
        <f t="shared" si="38"/>
        <v>0</v>
      </c>
      <c r="K147" s="69">
        <v>5.4450000000000003</v>
      </c>
    </row>
    <row r="148" spans="1:11" s="19" customFormat="1" ht="22.5" customHeight="1" x14ac:dyDescent="0.25">
      <c r="A148" s="243"/>
      <c r="B148" s="118">
        <v>1</v>
      </c>
      <c r="C148" s="33">
        <f t="shared" si="41"/>
        <v>0.05</v>
      </c>
      <c r="D148" s="17" t="s">
        <v>162</v>
      </c>
      <c r="E148" s="39">
        <v>50</v>
      </c>
      <c r="F148" s="33">
        <f>50/1000</f>
        <v>0.05</v>
      </c>
      <c r="G148" s="106">
        <v>0</v>
      </c>
      <c r="H148" s="106">
        <v>0</v>
      </c>
      <c r="I148" s="10" t="str">
        <f t="shared" si="40"/>
        <v>Еноксапарин 60мг/0,6мл, амп.</v>
      </c>
      <c r="J148" s="66">
        <f t="shared" si="38"/>
        <v>3.8000000000000006E-2</v>
      </c>
      <c r="K148" s="69">
        <v>1.2E-2</v>
      </c>
    </row>
    <row r="149" spans="1:11" s="19" customFormat="1" ht="22.5" customHeight="1" x14ac:dyDescent="0.25">
      <c r="A149" s="243"/>
      <c r="B149" s="118">
        <v>1</v>
      </c>
      <c r="C149" s="33">
        <f t="shared" si="41"/>
        <v>0.15</v>
      </c>
      <c r="D149" s="17" t="s">
        <v>163</v>
      </c>
      <c r="E149" s="39">
        <v>150</v>
      </c>
      <c r="F149" s="33">
        <f>150/1000</f>
        <v>0.15</v>
      </c>
      <c r="G149" s="106">
        <v>0</v>
      </c>
      <c r="H149" s="106">
        <v>0</v>
      </c>
      <c r="I149" s="10" t="str">
        <f t="shared" si="40"/>
        <v>Еноксапарин 40мг/0,4мл, амп.</v>
      </c>
      <c r="J149" s="71">
        <f t="shared" si="38"/>
        <v>0</v>
      </c>
      <c r="K149" s="69">
        <v>0.15</v>
      </c>
    </row>
    <row r="150" spans="1:11" s="19" customFormat="1" ht="22.5" customHeight="1" x14ac:dyDescent="0.25">
      <c r="A150" s="243"/>
      <c r="B150" s="118">
        <v>1</v>
      </c>
      <c r="C150" s="33">
        <f t="shared" si="41"/>
        <v>1.89</v>
      </c>
      <c r="D150" s="17" t="s">
        <v>164</v>
      </c>
      <c r="E150" s="39">
        <v>1890</v>
      </c>
      <c r="F150" s="33">
        <f>1890/1000</f>
        <v>1.89</v>
      </c>
      <c r="G150" s="106">
        <v>0</v>
      </c>
      <c r="H150" s="106">
        <v>0</v>
      </c>
      <c r="I150" s="10" t="str">
        <f t="shared" si="40"/>
        <v>Етинілестрадіол, табл.</v>
      </c>
      <c r="J150" s="66">
        <f t="shared" si="38"/>
        <v>0.12599999999999989</v>
      </c>
      <c r="K150" s="69">
        <v>1.764</v>
      </c>
    </row>
    <row r="151" spans="1:11" s="19" customFormat="1" ht="22.5" customHeight="1" x14ac:dyDescent="0.25">
      <c r="A151" s="243"/>
      <c r="B151" s="118">
        <v>1</v>
      </c>
      <c r="C151" s="33">
        <f t="shared" si="41"/>
        <v>0.01</v>
      </c>
      <c r="D151" s="17" t="s">
        <v>165</v>
      </c>
      <c r="E151" s="39">
        <v>10</v>
      </c>
      <c r="F151" s="12">
        <f>10/1000</f>
        <v>0.01</v>
      </c>
      <c r="G151" s="106">
        <v>0</v>
      </c>
      <c r="H151" s="106">
        <v>0</v>
      </c>
      <c r="I151" s="10" t="str">
        <f t="shared" si="40"/>
        <v>Набір для промивання шлунка, шт.</v>
      </c>
      <c r="J151" s="71">
        <f t="shared" si="38"/>
        <v>0</v>
      </c>
      <c r="K151" s="69">
        <v>0.01</v>
      </c>
    </row>
    <row r="152" spans="1:11" s="19" customFormat="1" ht="30.75" customHeight="1" x14ac:dyDescent="0.25">
      <c r="A152" s="243"/>
      <c r="B152" s="118">
        <v>1</v>
      </c>
      <c r="C152" s="33">
        <f t="shared" si="41"/>
        <v>0.2</v>
      </c>
      <c r="D152" s="17" t="s">
        <v>166</v>
      </c>
      <c r="E152" s="39">
        <v>200</v>
      </c>
      <c r="F152" s="33">
        <f>200/1000</f>
        <v>0.2</v>
      </c>
      <c r="G152" s="106">
        <v>0</v>
      </c>
      <c r="H152" s="106">
        <v>0</v>
      </c>
      <c r="I152" s="10" t="str">
        <f t="shared" si="40"/>
        <v>Рукавички медичні оглядові нітрилові нестерильні (розмір L), шт.</v>
      </c>
      <c r="J152" s="71">
        <f t="shared" si="38"/>
        <v>0</v>
      </c>
      <c r="K152" s="69">
        <v>0.2</v>
      </c>
    </row>
    <row r="153" spans="1:11" s="19" customFormat="1" ht="30.75" customHeight="1" x14ac:dyDescent="0.25">
      <c r="A153" s="243"/>
      <c r="B153" s="118">
        <v>1</v>
      </c>
      <c r="C153" s="12">
        <f t="shared" si="41"/>
        <v>1E-3</v>
      </c>
      <c r="D153" s="17" t="s">
        <v>167</v>
      </c>
      <c r="E153" s="39">
        <v>1</v>
      </c>
      <c r="F153" s="12">
        <f>1/1000</f>
        <v>1E-3</v>
      </c>
      <c r="G153" s="106">
        <v>0</v>
      </c>
      <c r="H153" s="106">
        <v>0</v>
      </c>
      <c r="I153" s="10" t="str">
        <f t="shared" si="40"/>
        <v>Набір для катетеризації сечового міхура, шт.</v>
      </c>
      <c r="J153" s="71">
        <f t="shared" si="38"/>
        <v>0</v>
      </c>
      <c r="K153" s="69">
        <v>1E-3</v>
      </c>
    </row>
    <row r="154" spans="1:11" s="19" customFormat="1" ht="30.75" customHeight="1" x14ac:dyDescent="0.25">
      <c r="A154" s="243"/>
      <c r="B154" s="118">
        <v>1</v>
      </c>
      <c r="C154" s="33">
        <f t="shared" si="41"/>
        <v>0.5</v>
      </c>
      <c r="D154" s="17" t="s">
        <v>168</v>
      </c>
      <c r="E154" s="39">
        <v>500</v>
      </c>
      <c r="F154" s="34">
        <f>500/1000</f>
        <v>0.5</v>
      </c>
      <c r="G154" s="106">
        <v>0</v>
      </c>
      <c r="H154" s="106">
        <v>0</v>
      </c>
      <c r="I154" s="10" t="str">
        <f t="shared" si="40"/>
        <v>Витратні матеріали / Urine bag 2 I,non-ret. Valves, шт.</v>
      </c>
      <c r="J154" s="71">
        <f t="shared" si="38"/>
        <v>0</v>
      </c>
      <c r="K154" s="69">
        <v>0.5</v>
      </c>
    </row>
    <row r="155" spans="1:11" s="19" customFormat="1" ht="30.75" customHeight="1" x14ac:dyDescent="0.25">
      <c r="A155" s="243"/>
      <c r="B155" s="118">
        <v>1</v>
      </c>
      <c r="C155" s="33">
        <f t="shared" si="41"/>
        <v>0.1</v>
      </c>
      <c r="D155" s="17" t="s">
        <v>168</v>
      </c>
      <c r="E155" s="39">
        <v>100</v>
      </c>
      <c r="F155" s="34">
        <f>100/1000</f>
        <v>0.1</v>
      </c>
      <c r="G155" s="106">
        <v>0</v>
      </c>
      <c r="H155" s="106">
        <v>0</v>
      </c>
      <c r="I155" s="10" t="str">
        <f t="shared" si="40"/>
        <v>Витратні матеріали / Urine bag 2 I,non-ret. Valves, шт.</v>
      </c>
      <c r="J155" s="71">
        <f t="shared" si="38"/>
        <v>0</v>
      </c>
      <c r="K155" s="69">
        <v>0.1</v>
      </c>
    </row>
    <row r="156" spans="1:11" s="19" customFormat="1" ht="30.75" customHeight="1" x14ac:dyDescent="0.25">
      <c r="A156" s="243"/>
      <c r="B156" s="118">
        <v>1</v>
      </c>
      <c r="C156" s="33">
        <f t="shared" si="41"/>
        <v>0.05</v>
      </c>
      <c r="D156" s="17" t="s">
        <v>169</v>
      </c>
      <c r="E156" s="39">
        <v>50</v>
      </c>
      <c r="F156" s="33">
        <f>50/1000</f>
        <v>0.05</v>
      </c>
      <c r="G156" s="106">
        <v>0</v>
      </c>
      <c r="H156" s="106">
        <v>0</v>
      </c>
      <c r="I156" s="10" t="str">
        <f t="shared" si="40"/>
        <v>Витратні матеріали / Nasal oxygen cannula 2 prongs+tube, шт.</v>
      </c>
      <c r="J156" s="71">
        <f t="shared" si="38"/>
        <v>0</v>
      </c>
      <c r="K156" s="69">
        <v>0.05</v>
      </c>
    </row>
    <row r="157" spans="1:11" s="19" customFormat="1" ht="30.75" customHeight="1" thickBot="1" x14ac:dyDescent="0.3">
      <c r="A157" s="244"/>
      <c r="B157" s="120">
        <v>1</v>
      </c>
      <c r="C157" s="35">
        <f t="shared" si="41"/>
        <v>1</v>
      </c>
      <c r="D157" s="36" t="s">
        <v>170</v>
      </c>
      <c r="E157" s="40">
        <v>1000</v>
      </c>
      <c r="F157" s="35">
        <f>1000/1000</f>
        <v>1</v>
      </c>
      <c r="G157" s="115">
        <v>0</v>
      </c>
      <c r="H157" s="115">
        <v>0</v>
      </c>
      <c r="I157" s="22" t="str">
        <f t="shared" si="40"/>
        <v>Рукавички медичні оглядові нітрилові нестерильні (розмір S), шт.</v>
      </c>
      <c r="J157" s="101">
        <f t="shared" si="38"/>
        <v>0</v>
      </c>
      <c r="K157" s="74">
        <v>1</v>
      </c>
    </row>
    <row r="158" spans="1:11" s="19" customFormat="1" ht="36" customHeight="1" x14ac:dyDescent="0.25">
      <c r="A158" s="242" t="s">
        <v>217</v>
      </c>
      <c r="B158" s="144">
        <v>1</v>
      </c>
      <c r="C158" s="149">
        <f t="shared" si="41"/>
        <v>3.6</v>
      </c>
      <c r="D158" s="150" t="s">
        <v>171</v>
      </c>
      <c r="E158" s="151">
        <v>3600</v>
      </c>
      <c r="F158" s="149">
        <f>3600/1000</f>
        <v>3.6</v>
      </c>
      <c r="G158" s="145">
        <v>0</v>
      </c>
      <c r="H158" s="145">
        <v>0</v>
      </c>
      <c r="I158" s="45" t="str">
        <f t="shared" si="40"/>
        <v>Рукавички медичні оглядові нітрилові нестерильні (розмір M), шт.</v>
      </c>
      <c r="J158" s="152">
        <f t="shared" si="38"/>
        <v>0</v>
      </c>
      <c r="K158" s="148">
        <v>3.6</v>
      </c>
    </row>
    <row r="159" spans="1:11" s="19" customFormat="1" ht="36" customHeight="1" x14ac:dyDescent="0.25">
      <c r="A159" s="243"/>
      <c r="B159" s="118">
        <v>1</v>
      </c>
      <c r="C159" s="33">
        <f t="shared" si="41"/>
        <v>0.3</v>
      </c>
      <c r="D159" s="17" t="s">
        <v>172</v>
      </c>
      <c r="E159" s="39">
        <v>300</v>
      </c>
      <c r="F159" s="33">
        <f>300/1000</f>
        <v>0.3</v>
      </c>
      <c r="G159" s="106">
        <v>0</v>
      </c>
      <c r="H159" s="106">
        <v>0</v>
      </c>
      <c r="I159" s="10" t="str">
        <f t="shared" si="40"/>
        <v>Витратні матеріали / Bag plastic for health card 16x22cm, шт.</v>
      </c>
      <c r="J159" s="71">
        <f t="shared" si="38"/>
        <v>0</v>
      </c>
      <c r="K159" s="69">
        <v>0.3</v>
      </c>
    </row>
    <row r="160" spans="1:11" s="19" customFormat="1" ht="36" customHeight="1" x14ac:dyDescent="0.25">
      <c r="A160" s="243"/>
      <c r="B160" s="118">
        <v>1</v>
      </c>
      <c r="C160" s="33">
        <f t="shared" si="41"/>
        <v>0.01</v>
      </c>
      <c r="D160" s="17" t="s">
        <v>173</v>
      </c>
      <c r="E160" s="39">
        <v>10</v>
      </c>
      <c r="F160" s="33">
        <f>10/1000</f>
        <v>0.01</v>
      </c>
      <c r="G160" s="106">
        <v>0</v>
      </c>
      <c r="H160" s="106">
        <v>0</v>
      </c>
      <c r="I160" s="10" t="str">
        <f t="shared" si="40"/>
        <v>Окуляри захисні, шт.</v>
      </c>
      <c r="J160" s="71">
        <f t="shared" si="38"/>
        <v>0</v>
      </c>
      <c r="K160" s="69">
        <v>0.01</v>
      </c>
    </row>
    <row r="161" spans="1:14" s="19" customFormat="1" ht="36" customHeight="1" x14ac:dyDescent="0.25">
      <c r="A161" s="243"/>
      <c r="B161" s="118">
        <v>1</v>
      </c>
      <c r="C161" s="33">
        <f t="shared" si="41"/>
        <v>1.1499999999999999</v>
      </c>
      <c r="D161" s="17" t="s">
        <v>174</v>
      </c>
      <c r="E161" s="39">
        <v>1150</v>
      </c>
      <c r="F161" s="33">
        <f>1150/1000</f>
        <v>1.1499999999999999</v>
      </c>
      <c r="G161" s="106">
        <v>0</v>
      </c>
      <c r="H161" s="106">
        <v>0</v>
      </c>
      <c r="I161" s="10" t="str">
        <f t="shared" si="40"/>
        <v>Шприц 10ml</v>
      </c>
      <c r="J161" s="71">
        <f t="shared" si="38"/>
        <v>0</v>
      </c>
      <c r="K161" s="69">
        <v>1.1499999999999999</v>
      </c>
    </row>
    <row r="162" spans="1:14" s="19" customFormat="1" ht="36" customHeight="1" x14ac:dyDescent="0.25">
      <c r="A162" s="243"/>
      <c r="B162" s="118">
        <v>1</v>
      </c>
      <c r="C162" s="33">
        <f t="shared" si="41"/>
        <v>0.1</v>
      </c>
      <c r="D162" s="17" t="s">
        <v>175</v>
      </c>
      <c r="E162" s="39">
        <v>100</v>
      </c>
      <c r="F162" s="33">
        <f>100/1000</f>
        <v>0.1</v>
      </c>
      <c r="G162" s="106">
        <v>0</v>
      </c>
      <c r="H162" s="106">
        <v>0</v>
      </c>
      <c r="I162" s="10" t="str">
        <f t="shared" si="40"/>
        <v>Шприц 5ml</v>
      </c>
      <c r="J162" s="71">
        <f t="shared" si="38"/>
        <v>0</v>
      </c>
      <c r="K162" s="69">
        <v>0.1</v>
      </c>
    </row>
    <row r="163" spans="1:14" s="19" customFormat="1" ht="36" customHeight="1" x14ac:dyDescent="0.25">
      <c r="A163" s="243"/>
      <c r="B163" s="118">
        <v>1</v>
      </c>
      <c r="C163" s="33">
        <f t="shared" si="41"/>
        <v>2</v>
      </c>
      <c r="D163" s="17" t="s">
        <v>176</v>
      </c>
      <c r="E163" s="39">
        <v>2000</v>
      </c>
      <c r="F163" s="33">
        <f>2000/1000</f>
        <v>2</v>
      </c>
      <c r="G163" s="106">
        <v>0</v>
      </c>
      <c r="H163" s="106">
        <v>0</v>
      </c>
      <c r="I163" s="10" t="str">
        <f t="shared" si="40"/>
        <v>Шприц 2ml</v>
      </c>
      <c r="J163" s="71">
        <f t="shared" si="38"/>
        <v>0</v>
      </c>
      <c r="K163" s="69">
        <v>2</v>
      </c>
    </row>
    <row r="164" spans="1:14" s="19" customFormat="1" ht="36" customHeight="1" x14ac:dyDescent="0.25">
      <c r="A164" s="243"/>
      <c r="B164" s="118">
        <v>1</v>
      </c>
      <c r="C164" s="33">
        <f t="shared" si="41"/>
        <v>2</v>
      </c>
      <c r="D164" s="17" t="s">
        <v>176</v>
      </c>
      <c r="E164" s="39">
        <v>2000</v>
      </c>
      <c r="F164" s="33">
        <f>2000/1000</f>
        <v>2</v>
      </c>
      <c r="G164" s="106">
        <v>0</v>
      </c>
      <c r="H164" s="106">
        <v>0</v>
      </c>
      <c r="I164" s="10" t="str">
        <f t="shared" si="40"/>
        <v>Шприц 2ml</v>
      </c>
      <c r="J164" s="71">
        <f t="shared" si="38"/>
        <v>0</v>
      </c>
      <c r="K164" s="69">
        <v>2</v>
      </c>
    </row>
    <row r="165" spans="1:14" s="19" customFormat="1" ht="36" customHeight="1" x14ac:dyDescent="0.25">
      <c r="A165" s="243"/>
      <c r="B165" s="118">
        <v>1</v>
      </c>
      <c r="C165" s="33">
        <f t="shared" si="41"/>
        <v>1</v>
      </c>
      <c r="D165" s="17" t="s">
        <v>177</v>
      </c>
      <c r="E165" s="39">
        <v>1000</v>
      </c>
      <c r="F165" s="33">
        <f>1000/1000</f>
        <v>1</v>
      </c>
      <c r="G165" s="106">
        <v>0</v>
      </c>
      <c r="H165" s="106">
        <v>0</v>
      </c>
      <c r="I165" s="10" t="str">
        <f t="shared" si="40"/>
        <v>Шприци з голками (різного обсягу) / Шприц одноразовий 3 мл, шт.</v>
      </c>
      <c r="J165" s="71">
        <f t="shared" si="38"/>
        <v>0</v>
      </c>
      <c r="K165" s="69">
        <v>1</v>
      </c>
    </row>
    <row r="166" spans="1:14" s="19" customFormat="1" ht="36" customHeight="1" x14ac:dyDescent="0.25">
      <c r="A166" s="243"/>
      <c r="B166" s="118">
        <v>1</v>
      </c>
      <c r="C166" s="33">
        <f t="shared" si="41"/>
        <v>0.1</v>
      </c>
      <c r="D166" s="17" t="s">
        <v>178</v>
      </c>
      <c r="E166" s="39">
        <v>100</v>
      </c>
      <c r="F166" s="33">
        <f>100/1000</f>
        <v>0.1</v>
      </c>
      <c r="G166" s="106">
        <v>0</v>
      </c>
      <c r="H166" s="106">
        <v>0</v>
      </c>
      <c r="I166" s="10" t="str">
        <f t="shared" si="40"/>
        <v>Шприци з голками (різного обсягу) / Шприц одноразовий 5 мл, шт.</v>
      </c>
      <c r="J166" s="71">
        <f t="shared" si="38"/>
        <v>0</v>
      </c>
      <c r="K166" s="69">
        <v>0.1</v>
      </c>
    </row>
    <row r="167" spans="1:14" s="19" customFormat="1" ht="36" customHeight="1" x14ac:dyDescent="0.25">
      <c r="A167" s="243"/>
      <c r="B167" s="118">
        <v>1</v>
      </c>
      <c r="C167" s="33">
        <f t="shared" si="41"/>
        <v>0.2</v>
      </c>
      <c r="D167" s="17" t="s">
        <v>179</v>
      </c>
      <c r="E167" s="39">
        <v>200</v>
      </c>
      <c r="F167" s="33">
        <f>200/1000</f>
        <v>0.2</v>
      </c>
      <c r="G167" s="106">
        <v>0</v>
      </c>
      <c r="H167" s="106">
        <v>0</v>
      </c>
      <c r="I167" s="10" t="str">
        <f t="shared" si="40"/>
        <v xml:space="preserve">Медичні маски / Маска медична захисна, шт. </v>
      </c>
      <c r="J167" s="71">
        <f t="shared" si="38"/>
        <v>0</v>
      </c>
      <c r="K167" s="69">
        <v>0.2</v>
      </c>
    </row>
    <row r="168" spans="1:14" s="19" customFormat="1" ht="36" customHeight="1" x14ac:dyDescent="0.25">
      <c r="A168" s="243"/>
      <c r="B168" s="118">
        <v>1</v>
      </c>
      <c r="C168" s="33">
        <f t="shared" si="41"/>
        <v>6.7969999999999997</v>
      </c>
      <c r="D168" s="17" t="s">
        <v>180</v>
      </c>
      <c r="E168" s="39">
        <v>100</v>
      </c>
      <c r="F168" s="33">
        <f>6797/1000</f>
        <v>6.7969999999999997</v>
      </c>
      <c r="G168" s="106">
        <v>0</v>
      </c>
      <c r="H168" s="106">
        <v>0</v>
      </c>
      <c r="I168" s="10" t="str">
        <f t="shared" si="40"/>
        <v>Бупівакаїн / Bucain 0,25% 2,5mg/ml 125mg/50ml флакон 50мл, флак.</v>
      </c>
      <c r="J168" s="71">
        <f t="shared" si="38"/>
        <v>0</v>
      </c>
      <c r="K168" s="69">
        <v>6.7969999999999997</v>
      </c>
    </row>
    <row r="169" spans="1:14" s="19" customFormat="1" ht="36" customHeight="1" x14ac:dyDescent="0.25">
      <c r="A169" s="243"/>
      <c r="B169" s="118">
        <v>1</v>
      </c>
      <c r="C169" s="33">
        <f t="shared" si="41"/>
        <v>4.2779999999999996</v>
      </c>
      <c r="D169" s="17" t="s">
        <v>181</v>
      </c>
      <c r="E169" s="39">
        <v>100</v>
      </c>
      <c r="F169" s="33">
        <f>4278/1000</f>
        <v>4.2779999999999996</v>
      </c>
      <c r="G169" s="106">
        <v>0</v>
      </c>
      <c r="H169" s="106">
        <v>0</v>
      </c>
      <c r="I169" s="10" t="str">
        <f t="shared" si="40"/>
        <v>Бупівакаїн / Bucain 0,25% 2,5mg/ml 50mg/20ml флакон 20мл, флак.</v>
      </c>
      <c r="J169" s="71">
        <f t="shared" si="38"/>
        <v>0</v>
      </c>
      <c r="K169" s="69">
        <f>F169</f>
        <v>4.2779999999999996</v>
      </c>
      <c r="N169" s="7" t="e">
        <f>N1+#REF!+N59+N65+N80+N83+N88+N89+N149+N152+N157+N162+N164</f>
        <v>#REF!</v>
      </c>
    </row>
    <row r="170" spans="1:14" s="19" customFormat="1" ht="36" customHeight="1" x14ac:dyDescent="0.25">
      <c r="A170" s="243"/>
      <c r="B170" s="118">
        <v>1</v>
      </c>
      <c r="C170" s="33">
        <f t="shared" si="41"/>
        <v>35.984999999999999</v>
      </c>
      <c r="D170" s="17" t="s">
        <v>182</v>
      </c>
      <c r="E170" s="39">
        <v>500</v>
      </c>
      <c r="F170" s="33">
        <f>35985/1000</f>
        <v>35.984999999999999</v>
      </c>
      <c r="G170" s="106">
        <v>0</v>
      </c>
      <c r="H170" s="106">
        <v>0</v>
      </c>
      <c r="I170" s="10" t="str">
        <f t="shared" si="40"/>
        <v>Бупівакаїн / Bucain 0,5% 5mg/ml 250mg/50ml флакон, флак.</v>
      </c>
      <c r="J170" s="71">
        <f t="shared" si="38"/>
        <v>0</v>
      </c>
      <c r="K170" s="69">
        <v>35.984999999999999</v>
      </c>
    </row>
    <row r="171" spans="1:14" s="19" customFormat="1" ht="36" customHeight="1" x14ac:dyDescent="0.25">
      <c r="A171" s="243"/>
      <c r="B171" s="118">
        <v>1</v>
      </c>
      <c r="C171" s="33">
        <f t="shared" si="41"/>
        <v>4.2979840000000005</v>
      </c>
      <c r="D171" s="17" t="s">
        <v>181</v>
      </c>
      <c r="E171" s="39">
        <v>100</v>
      </c>
      <c r="F171" s="33">
        <f>4297.984/1000</f>
        <v>4.2979840000000005</v>
      </c>
      <c r="G171" s="106">
        <v>0</v>
      </c>
      <c r="H171" s="106">
        <v>0</v>
      </c>
      <c r="I171" s="10" t="str">
        <f t="shared" si="40"/>
        <v>Бупівакаїн / Bucain 0,25% 2,5mg/ml 50mg/20ml флакон 20мл, флак.</v>
      </c>
      <c r="J171" s="71">
        <f t="shared" si="38"/>
        <v>0</v>
      </c>
      <c r="K171" s="69">
        <f>F171</f>
        <v>4.2979840000000005</v>
      </c>
    </row>
    <row r="172" spans="1:14" s="19" customFormat="1" ht="36" customHeight="1" x14ac:dyDescent="0.25">
      <c r="A172" s="243"/>
      <c r="B172" s="118">
        <v>1</v>
      </c>
      <c r="C172" s="33">
        <f t="shared" si="41"/>
        <v>4.798</v>
      </c>
      <c r="D172" s="17" t="s">
        <v>183</v>
      </c>
      <c r="E172" s="39">
        <v>100</v>
      </c>
      <c r="F172" s="33">
        <f>4798/1000</f>
        <v>4.798</v>
      </c>
      <c r="G172" s="106">
        <v>0</v>
      </c>
      <c r="H172" s="106">
        <v>0</v>
      </c>
      <c r="I172" s="10" t="str">
        <f t="shared" si="40"/>
        <v>Бупівакаїн / Bucain 0,25% 2,5mg/ml 50mg/20ml бут., флак.</v>
      </c>
      <c r="J172" s="71">
        <f>F172-K172</f>
        <v>0</v>
      </c>
      <c r="K172" s="69">
        <f>F172</f>
        <v>4.798</v>
      </c>
    </row>
    <row r="173" spans="1:14" s="19" customFormat="1" ht="36" customHeight="1" thickBot="1" x14ac:dyDescent="0.3">
      <c r="A173" s="243"/>
      <c r="B173" s="120">
        <v>1</v>
      </c>
      <c r="C173" s="35">
        <f t="shared" si="41"/>
        <v>7.2</v>
      </c>
      <c r="D173" s="36" t="s">
        <v>184</v>
      </c>
      <c r="E173" s="40">
        <v>7200</v>
      </c>
      <c r="F173" s="35">
        <f>7200/1000</f>
        <v>7.2</v>
      </c>
      <c r="G173" s="115">
        <v>0</v>
      </c>
      <c r="H173" s="115">
        <v>0</v>
      </c>
      <c r="I173" s="22" t="str">
        <f t="shared" si="40"/>
        <v>Вітаміни / Мінісан 5 мкг 200МЕ (віт.Д3), шт.</v>
      </c>
      <c r="J173" s="73">
        <f>F173-K173</f>
        <v>7.2</v>
      </c>
      <c r="K173" s="74">
        <v>0</v>
      </c>
    </row>
    <row r="174" spans="1:14" s="19" customFormat="1" ht="47.25" customHeight="1" x14ac:dyDescent="0.25">
      <c r="A174" s="243"/>
      <c r="B174" s="248" t="s">
        <v>122</v>
      </c>
      <c r="C174" s="249"/>
      <c r="D174" s="249"/>
      <c r="E174" s="250"/>
      <c r="F174" s="23">
        <f>F175+F176</f>
        <v>21.4</v>
      </c>
      <c r="G174" s="221" t="s">
        <v>122</v>
      </c>
      <c r="H174" s="221"/>
      <c r="I174" s="221"/>
      <c r="J174" s="75">
        <f>J175+J176</f>
        <v>21.4</v>
      </c>
      <c r="K174" s="138">
        <v>0</v>
      </c>
    </row>
    <row r="175" spans="1:14" s="19" customFormat="1" ht="30.75" customHeight="1" x14ac:dyDescent="0.25">
      <c r="A175" s="243"/>
      <c r="B175" s="118">
        <v>1</v>
      </c>
      <c r="C175" s="33">
        <f t="shared" ref="C175:C176" si="42">F174:F175</f>
        <v>20</v>
      </c>
      <c r="D175" s="38" t="s">
        <v>185</v>
      </c>
      <c r="E175" s="39">
        <v>2</v>
      </c>
      <c r="F175" s="139">
        <f>20000/1000</f>
        <v>20</v>
      </c>
      <c r="G175" s="106">
        <v>0</v>
      </c>
      <c r="H175" s="106">
        <v>0</v>
      </c>
      <c r="I175" s="10" t="str">
        <f t="shared" ref="I175:I176" si="43">D175</f>
        <v>Ліжко лікарняне Stryker 7600-000-900 Emergency Relief bed</v>
      </c>
      <c r="J175" s="66">
        <f t="shared" ref="J175:J176" si="44">F175</f>
        <v>20</v>
      </c>
      <c r="K175" s="140">
        <v>0</v>
      </c>
    </row>
    <row r="176" spans="1:14" s="19" customFormat="1" ht="30.75" customHeight="1" thickBot="1" x14ac:dyDescent="0.3">
      <c r="A176" s="243"/>
      <c r="B176" s="119">
        <v>1</v>
      </c>
      <c r="C176" s="87">
        <f t="shared" si="42"/>
        <v>1.4</v>
      </c>
      <c r="D176" s="98" t="s">
        <v>186</v>
      </c>
      <c r="E176" s="99">
        <v>2</v>
      </c>
      <c r="F176" s="141">
        <f>1400/1000</f>
        <v>1.4</v>
      </c>
      <c r="G176" s="107">
        <v>0</v>
      </c>
      <c r="H176" s="107">
        <v>0</v>
      </c>
      <c r="I176" s="14" t="str">
        <f t="shared" si="43"/>
        <v>Матрац</v>
      </c>
      <c r="J176" s="77">
        <f t="shared" si="44"/>
        <v>1.4</v>
      </c>
      <c r="K176" s="142">
        <v>0</v>
      </c>
    </row>
    <row r="177" spans="1:18" s="19" customFormat="1" ht="54" customHeight="1" x14ac:dyDescent="0.35">
      <c r="A177" s="243"/>
      <c r="B177" s="220" t="s">
        <v>117</v>
      </c>
      <c r="C177" s="221"/>
      <c r="D177" s="221"/>
      <c r="E177" s="221"/>
      <c r="F177" s="30">
        <f>F178+F179+F180+F181</f>
        <v>4.0000000000000001E-3</v>
      </c>
      <c r="G177" s="221" t="s">
        <v>117</v>
      </c>
      <c r="H177" s="221"/>
      <c r="I177" s="221"/>
      <c r="J177" s="105">
        <f>J178+J179+J180+J181</f>
        <v>4.0000000000000001E-3</v>
      </c>
      <c r="K177" s="138">
        <v>0</v>
      </c>
      <c r="N177" s="128"/>
      <c r="O177" s="128"/>
      <c r="P177" s="128"/>
      <c r="Q177" s="128"/>
      <c r="R177" s="128"/>
    </row>
    <row r="178" spans="1:18" s="19" customFormat="1" ht="33.75" customHeight="1" x14ac:dyDescent="0.35">
      <c r="A178" s="243"/>
      <c r="B178" s="118">
        <v>1</v>
      </c>
      <c r="C178" s="7">
        <f t="shared" ref="C178" si="45">F177:F178</f>
        <v>1E-3</v>
      </c>
      <c r="D178" s="17" t="s">
        <v>187</v>
      </c>
      <c r="E178" s="42">
        <v>1</v>
      </c>
      <c r="F178" s="41">
        <f>1/1000</f>
        <v>1E-3</v>
      </c>
      <c r="G178" s="106">
        <v>0</v>
      </c>
      <c r="H178" s="106">
        <v>0</v>
      </c>
      <c r="I178" s="10" t="str">
        <f t="shared" ref="I178:I181" si="46">D178</f>
        <v>Модуль для монітора пацієнта</v>
      </c>
      <c r="J178" s="71">
        <f t="shared" ref="J178:J186" si="47">F178</f>
        <v>1E-3</v>
      </c>
      <c r="K178" s="140">
        <v>0</v>
      </c>
      <c r="N178" s="128"/>
      <c r="O178" s="128"/>
      <c r="P178" s="128"/>
      <c r="Q178" s="128"/>
      <c r="R178" s="128"/>
    </row>
    <row r="179" spans="1:18" s="19" customFormat="1" ht="33.75" customHeight="1" x14ac:dyDescent="0.35">
      <c r="A179" s="243"/>
      <c r="B179" s="118">
        <v>1</v>
      </c>
      <c r="C179" s="7">
        <f>F178:F179</f>
        <v>1E-3</v>
      </c>
      <c r="D179" s="17" t="s">
        <v>188</v>
      </c>
      <c r="E179" s="42">
        <v>1</v>
      </c>
      <c r="F179" s="41">
        <f>1/1000</f>
        <v>1E-3</v>
      </c>
      <c r="G179" s="106">
        <v>0</v>
      </c>
      <c r="H179" s="106">
        <v>0</v>
      </c>
      <c r="I179" s="10" t="str">
        <f>D179</f>
        <v>Апарат моніторінгу кардіотокографії</v>
      </c>
      <c r="J179" s="71">
        <f>F179</f>
        <v>1E-3</v>
      </c>
      <c r="K179" s="140">
        <v>0</v>
      </c>
      <c r="N179" s="128"/>
      <c r="O179" s="128"/>
      <c r="P179" s="128"/>
      <c r="Q179" s="128"/>
      <c r="R179" s="128"/>
    </row>
    <row r="180" spans="1:18" s="19" customFormat="1" ht="33.75" customHeight="1" x14ac:dyDescent="0.35">
      <c r="A180" s="243"/>
      <c r="B180" s="118">
        <v>1</v>
      </c>
      <c r="C180" s="7">
        <f>F179:F180</f>
        <v>1E-3</v>
      </c>
      <c r="D180" s="17" t="s">
        <v>189</v>
      </c>
      <c r="E180" s="42">
        <v>1</v>
      </c>
      <c r="F180" s="41">
        <f>1/1000</f>
        <v>1E-3</v>
      </c>
      <c r="G180" s="106">
        <v>0</v>
      </c>
      <c r="H180" s="106">
        <v>0</v>
      </c>
      <c r="I180" s="10" t="str">
        <f>D180</f>
        <v>Апарат штучної вентиляції легенів Venslstor VG70 E TIP 608/n/a</v>
      </c>
      <c r="J180" s="71">
        <f>F180</f>
        <v>1E-3</v>
      </c>
      <c r="K180" s="140">
        <v>0</v>
      </c>
      <c r="N180" s="128"/>
      <c r="O180" s="128"/>
      <c r="P180" s="128"/>
      <c r="Q180" s="128"/>
      <c r="R180" s="128"/>
    </row>
    <row r="181" spans="1:18" s="19" customFormat="1" ht="51" customHeight="1" thickBot="1" x14ac:dyDescent="0.4">
      <c r="A181" s="244"/>
      <c r="B181" s="120">
        <v>1</v>
      </c>
      <c r="C181" s="20">
        <f>F180:F181</f>
        <v>1E-3</v>
      </c>
      <c r="D181" s="36" t="s">
        <v>190</v>
      </c>
      <c r="E181" s="43">
        <v>1</v>
      </c>
      <c r="F181" s="100">
        <f>1/1000</f>
        <v>1E-3</v>
      </c>
      <c r="G181" s="115">
        <v>0</v>
      </c>
      <c r="H181" s="115">
        <v>0</v>
      </c>
      <c r="I181" s="22" t="str">
        <f t="shared" si="46"/>
        <v>Обладнання /Апарат моніторингу кардіографії /Candiolocodraphymonitiring device n/a</v>
      </c>
      <c r="J181" s="101">
        <f t="shared" si="47"/>
        <v>1E-3</v>
      </c>
      <c r="K181" s="153">
        <v>0</v>
      </c>
      <c r="N181" s="128"/>
      <c r="O181" s="128"/>
      <c r="P181" s="128"/>
      <c r="Q181" s="128"/>
      <c r="R181" s="128"/>
    </row>
    <row r="182" spans="1:18" s="19" customFormat="1" ht="42.75" customHeight="1" x14ac:dyDescent="0.35">
      <c r="A182" s="231" t="s">
        <v>191</v>
      </c>
      <c r="B182" s="220" t="s">
        <v>122</v>
      </c>
      <c r="C182" s="221"/>
      <c r="D182" s="221"/>
      <c r="E182" s="221"/>
      <c r="F182" s="23">
        <f>F183+F184+F185+F186</f>
        <v>161.50385</v>
      </c>
      <c r="G182" s="221" t="s">
        <v>122</v>
      </c>
      <c r="H182" s="221"/>
      <c r="I182" s="221"/>
      <c r="J182" s="76">
        <f t="shared" si="47"/>
        <v>161.50385</v>
      </c>
      <c r="K182" s="138">
        <v>0</v>
      </c>
      <c r="N182" s="128"/>
      <c r="O182" s="128"/>
      <c r="P182" s="128"/>
      <c r="Q182" s="128"/>
      <c r="R182" s="128"/>
    </row>
    <row r="183" spans="1:18" s="19" customFormat="1" ht="44.25" customHeight="1" x14ac:dyDescent="0.35">
      <c r="A183" s="232"/>
      <c r="B183" s="118">
        <v>1</v>
      </c>
      <c r="C183" s="7">
        <f t="shared" ref="C183:C186" si="48">F182:F183</f>
        <v>30.103400000000001</v>
      </c>
      <c r="D183" s="17" t="s">
        <v>192</v>
      </c>
      <c r="E183" s="42">
        <v>20</v>
      </c>
      <c r="F183" s="7">
        <f>30103.4/1000</f>
        <v>30.103400000000001</v>
      </c>
      <c r="G183" s="106">
        <v>0</v>
      </c>
      <c r="H183" s="106">
        <v>0</v>
      </c>
      <c r="I183" s="10" t="str">
        <f t="shared" ref="I183:I186" si="49">D183</f>
        <v>Сонячний світильник ScheiderElectric mobiya Lite AEP LL01-5100</v>
      </c>
      <c r="J183" s="66">
        <f t="shared" si="47"/>
        <v>30.103400000000001</v>
      </c>
      <c r="K183" s="140">
        <v>0</v>
      </c>
      <c r="N183" s="128"/>
      <c r="O183" s="128"/>
      <c r="P183" s="128"/>
      <c r="Q183" s="128"/>
      <c r="R183" s="128"/>
    </row>
    <row r="184" spans="1:18" s="19" customFormat="1" ht="44.25" customHeight="1" x14ac:dyDescent="0.35">
      <c r="A184" s="232"/>
      <c r="B184" s="118">
        <v>1</v>
      </c>
      <c r="C184" s="7">
        <f t="shared" si="48"/>
        <v>3.1449000000000003</v>
      </c>
      <c r="D184" s="17" t="s">
        <v>193</v>
      </c>
      <c r="E184" s="42">
        <v>10</v>
      </c>
      <c r="F184" s="7">
        <f>3144.9/1000</f>
        <v>3.1449000000000003</v>
      </c>
      <c r="G184" s="106">
        <v>0</v>
      </c>
      <c r="H184" s="106">
        <v>0</v>
      </c>
      <c r="I184" s="10" t="str">
        <f t="shared" si="49"/>
        <v xml:space="preserve"> Обігрівач конвекторний BY 1208</v>
      </c>
      <c r="J184" s="66">
        <f t="shared" si="47"/>
        <v>3.1449000000000003</v>
      </c>
      <c r="K184" s="140">
        <v>0</v>
      </c>
      <c r="N184" s="128"/>
      <c r="O184" s="128"/>
      <c r="P184" s="128"/>
      <c r="Q184" s="128"/>
      <c r="R184" s="128"/>
    </row>
    <row r="185" spans="1:18" s="19" customFormat="1" ht="44.25" customHeight="1" x14ac:dyDescent="0.25">
      <c r="A185" s="232"/>
      <c r="B185" s="118">
        <v>1</v>
      </c>
      <c r="C185" s="7">
        <f t="shared" si="48"/>
        <v>57.242750000000001</v>
      </c>
      <c r="D185" s="17" t="s">
        <v>194</v>
      </c>
      <c r="E185" s="42">
        <v>5</v>
      </c>
      <c r="F185" s="7">
        <f>57242.75/1000</f>
        <v>57.242750000000001</v>
      </c>
      <c r="G185" s="106">
        <v>0</v>
      </c>
      <c r="H185" s="106">
        <v>0</v>
      </c>
      <c r="I185" s="10" t="str">
        <f t="shared" si="49"/>
        <v>Нагрівач мат Cable lhpe 420 W A 691673</v>
      </c>
      <c r="J185" s="66">
        <f t="shared" si="47"/>
        <v>57.242750000000001</v>
      </c>
      <c r="K185" s="140">
        <v>0</v>
      </c>
    </row>
    <row r="186" spans="1:18" s="19" customFormat="1" ht="44.25" customHeight="1" thickBot="1" x14ac:dyDescent="0.3">
      <c r="A186" s="232"/>
      <c r="B186" s="119">
        <v>1</v>
      </c>
      <c r="C186" s="13">
        <f t="shared" si="48"/>
        <v>71.012799999999999</v>
      </c>
      <c r="D186" s="29" t="s">
        <v>195</v>
      </c>
      <c r="E186" s="102">
        <v>5</v>
      </c>
      <c r="F186" s="13">
        <f>71012.8/1000</f>
        <v>71.012799999999999</v>
      </c>
      <c r="G186" s="107">
        <v>0</v>
      </c>
      <c r="H186" s="107">
        <v>0</v>
      </c>
      <c r="I186" s="14" t="str">
        <f t="shared" si="49"/>
        <v>Нагрівач мат Cable lhpe 520 W A 691674</v>
      </c>
      <c r="J186" s="77">
        <f t="shared" si="47"/>
        <v>71.012799999999999</v>
      </c>
      <c r="K186" s="142">
        <v>0</v>
      </c>
    </row>
    <row r="187" spans="1:18" s="19" customFormat="1" ht="43.5" customHeight="1" x14ac:dyDescent="0.25">
      <c r="A187" s="232"/>
      <c r="B187" s="220" t="s">
        <v>117</v>
      </c>
      <c r="C187" s="221"/>
      <c r="D187" s="221"/>
      <c r="E187" s="221"/>
      <c r="F187" s="23">
        <f>F188</f>
        <v>20.066759999999999</v>
      </c>
      <c r="G187" s="222" t="s">
        <v>117</v>
      </c>
      <c r="H187" s="223"/>
      <c r="I187" s="224"/>
      <c r="J187" s="75">
        <f>J188</f>
        <v>20.066759999999999</v>
      </c>
      <c r="K187" s="138">
        <v>0</v>
      </c>
    </row>
    <row r="188" spans="1:18" s="19" customFormat="1" ht="69.75" customHeight="1" thickBot="1" x14ac:dyDescent="0.3">
      <c r="A188" s="232"/>
      <c r="B188" s="119">
        <v>1</v>
      </c>
      <c r="C188" s="13">
        <f t="shared" ref="C188" si="50">F187:F188</f>
        <v>20.066759999999999</v>
      </c>
      <c r="D188" s="14" t="s">
        <v>196</v>
      </c>
      <c r="E188" s="15">
        <v>1</v>
      </c>
      <c r="F188" s="13">
        <f>20066.76/1000</f>
        <v>20.066759999999999</v>
      </c>
      <c r="G188" s="107">
        <v>0</v>
      </c>
      <c r="H188" s="107">
        <v>0</v>
      </c>
      <c r="I188" s="14" t="str">
        <f t="shared" ref="I188" si="51">D188</f>
        <v xml:space="preserve"> Продовжувач на катушці Legrand H07RNF 3g2/5mm)(25m)50758</v>
      </c>
      <c r="J188" s="77">
        <f t="shared" ref="J188" si="52">F188</f>
        <v>20.066759999999999</v>
      </c>
      <c r="K188" s="142">
        <v>0</v>
      </c>
    </row>
    <row r="189" spans="1:18" s="19" customFormat="1" ht="62.25" customHeight="1" x14ac:dyDescent="0.25">
      <c r="A189" s="233" t="s">
        <v>301</v>
      </c>
      <c r="B189" s="235" t="s">
        <v>122</v>
      </c>
      <c r="C189" s="236"/>
      <c r="D189" s="236"/>
      <c r="E189" s="44"/>
      <c r="F189" s="190">
        <f>F190+F191+F192</f>
        <v>0.17699999999999999</v>
      </c>
      <c r="G189" s="237" t="s">
        <v>122</v>
      </c>
      <c r="H189" s="238"/>
      <c r="I189" s="239"/>
      <c r="J189" s="84" t="e">
        <f>J191+J196+#REF!+J190</f>
        <v>#REF!</v>
      </c>
      <c r="K189" s="138">
        <v>0</v>
      </c>
    </row>
    <row r="190" spans="1:18" ht="54.75" customHeight="1" x14ac:dyDescent="0.25">
      <c r="A190" s="234"/>
      <c r="B190" s="121">
        <v>1</v>
      </c>
      <c r="C190" s="46">
        <f>F188:F190</f>
        <v>5.8999999999999997E-2</v>
      </c>
      <c r="D190" s="177" t="s">
        <v>275</v>
      </c>
      <c r="E190" s="47">
        <v>2</v>
      </c>
      <c r="F190" s="173">
        <v>5.8999999999999997E-2</v>
      </c>
      <c r="G190" s="116">
        <v>0</v>
      </c>
      <c r="H190" s="106">
        <v>0</v>
      </c>
      <c r="I190" s="10" t="str">
        <f t="shared" ref="I190:I192" si="53">D190</f>
        <v>Багаторазова манжета для визначення артеріальноготиску для дорослих Hillrom FlexiPort 11L шт</v>
      </c>
      <c r="J190" s="79">
        <f t="shared" ref="J190:J192" si="54">F190</f>
        <v>5.8999999999999997E-2</v>
      </c>
      <c r="K190" s="140">
        <v>0</v>
      </c>
    </row>
    <row r="191" spans="1:18" ht="48" customHeight="1" x14ac:dyDescent="0.25">
      <c r="A191" s="234"/>
      <c r="B191" s="118">
        <v>1</v>
      </c>
      <c r="C191" s="7">
        <f>F189:F191</f>
        <v>5.8999999999999997E-2</v>
      </c>
      <c r="D191" s="177" t="s">
        <v>276</v>
      </c>
      <c r="E191" s="49">
        <v>2</v>
      </c>
      <c r="F191" s="173">
        <v>5.8999999999999997E-2</v>
      </c>
      <c r="G191" s="106">
        <v>0</v>
      </c>
      <c r="H191" s="106">
        <v>0</v>
      </c>
      <c r="I191" s="10" t="str">
        <f t="shared" si="53"/>
        <v>Багаторазова манжета Zool, м'яка для немовлят , 2 трубки 9-13см, з'єднувач із замком, коробка 20шт</v>
      </c>
      <c r="J191" s="79">
        <f t="shared" si="54"/>
        <v>5.8999999999999997E-2</v>
      </c>
      <c r="K191" s="140">
        <v>0</v>
      </c>
    </row>
    <row r="192" spans="1:18" ht="48" customHeight="1" x14ac:dyDescent="0.25">
      <c r="A192" s="234"/>
      <c r="B192" s="118">
        <v>1</v>
      </c>
      <c r="C192" s="7">
        <f>F188:F192</f>
        <v>5.8999999999999997E-2</v>
      </c>
      <c r="D192" s="188" t="s">
        <v>277</v>
      </c>
      <c r="E192" s="50">
        <v>2</v>
      </c>
      <c r="F192" s="173">
        <v>5.8999999999999997E-2</v>
      </c>
      <c r="G192" s="106">
        <v>0</v>
      </c>
      <c r="H192" s="106">
        <v>0</v>
      </c>
      <c r="I192" s="10" t="str">
        <f t="shared" si="53"/>
        <v>Сумка для перене сення дефібрілятора  Zool шт</v>
      </c>
      <c r="J192" s="79">
        <f t="shared" si="54"/>
        <v>5.8999999999999997E-2</v>
      </c>
      <c r="K192" s="140"/>
    </row>
    <row r="193" spans="1:19" ht="48" customHeight="1" x14ac:dyDescent="0.25">
      <c r="A193" s="234"/>
      <c r="B193" s="240" t="s">
        <v>76</v>
      </c>
      <c r="C193" s="241"/>
      <c r="D193" s="241"/>
      <c r="E193" s="241"/>
      <c r="F193" s="91">
        <f>F194+F217</f>
        <v>1.68</v>
      </c>
      <c r="G193" s="241" t="s">
        <v>76</v>
      </c>
      <c r="H193" s="241"/>
      <c r="I193" s="241"/>
      <c r="J193" s="97">
        <f>J194+J217</f>
        <v>1.68</v>
      </c>
      <c r="K193" s="92">
        <f>K194+K217</f>
        <v>0</v>
      </c>
    </row>
    <row r="194" spans="1:19" ht="48" customHeight="1" thickBot="1" x14ac:dyDescent="0.3">
      <c r="A194" s="234"/>
      <c r="B194" s="119">
        <v>1</v>
      </c>
      <c r="C194" s="13">
        <f t="shared" ref="C194" si="55">F193:F194</f>
        <v>1.68</v>
      </c>
      <c r="D194" s="182" t="s">
        <v>302</v>
      </c>
      <c r="E194" s="15">
        <v>4</v>
      </c>
      <c r="F194" s="189">
        <v>1.68</v>
      </c>
      <c r="G194" s="107">
        <v>0</v>
      </c>
      <c r="H194" s="107">
        <v>0</v>
      </c>
      <c r="I194" s="14" t="str">
        <f t="shared" ref="I194" si="56">D194</f>
        <v>Натрію хлорід 0,9% для внутрішньовенних інфузій 1000мл у флак. №10, упак.</v>
      </c>
      <c r="J194" s="77">
        <f t="shared" ref="J194" si="57">F194</f>
        <v>1.68</v>
      </c>
      <c r="K194" s="142">
        <v>0</v>
      </c>
    </row>
    <row r="195" spans="1:19" ht="48" customHeight="1" x14ac:dyDescent="0.25">
      <c r="A195" s="234"/>
      <c r="B195" s="220" t="s">
        <v>117</v>
      </c>
      <c r="C195" s="221"/>
      <c r="D195" s="221"/>
      <c r="E195" s="221"/>
      <c r="F195" s="190">
        <f>F196</f>
        <v>1291.087</v>
      </c>
      <c r="G195" s="222" t="s">
        <v>117</v>
      </c>
      <c r="H195" s="223"/>
      <c r="I195" s="224"/>
      <c r="J195" s="75">
        <f>J196</f>
        <v>1291.087</v>
      </c>
      <c r="K195" s="138">
        <v>0</v>
      </c>
    </row>
    <row r="196" spans="1:19" ht="38.25" customHeight="1" thickBot="1" x14ac:dyDescent="0.3">
      <c r="A196" s="234"/>
      <c r="B196" s="119">
        <v>1</v>
      </c>
      <c r="C196" s="189">
        <f t="shared" ref="C196" si="58">F195:F196</f>
        <v>1291.087</v>
      </c>
      <c r="D196" s="182" t="s">
        <v>278</v>
      </c>
      <c r="E196" s="15">
        <v>2</v>
      </c>
      <c r="F196" s="189">
        <v>1291.087</v>
      </c>
      <c r="G196" s="107">
        <v>0</v>
      </c>
      <c r="H196" s="107">
        <v>0</v>
      </c>
      <c r="I196" s="14" t="str">
        <f t="shared" ref="I196" si="59">D196</f>
        <v>Дефібрілятор Zool шт</v>
      </c>
      <c r="J196" s="77">
        <f t="shared" ref="J196" si="60">F196</f>
        <v>1291.087</v>
      </c>
      <c r="K196" s="142">
        <v>0</v>
      </c>
    </row>
    <row r="197" spans="1:19" ht="61.5" customHeight="1" thickBot="1" x14ac:dyDescent="0.3">
      <c r="A197" s="225" t="s">
        <v>202</v>
      </c>
      <c r="B197" s="226"/>
      <c r="C197" s="226"/>
      <c r="D197" s="226"/>
      <c r="E197" s="227"/>
      <c r="F197" s="155" t="e">
        <f>F5+F33+#REF!+F89+F103+F106+F110+F114+F174+F177+F182+F187+F189</f>
        <v>#REF!</v>
      </c>
      <c r="G197" s="228" t="s">
        <v>202</v>
      </c>
      <c r="H197" s="229"/>
      <c r="I197" s="230"/>
      <c r="J197" s="156" t="e">
        <f>J5+J33+#REF!+J89+J103+J106+J110+J114+J174+J177+J182+J187+J189</f>
        <v>#REF!</v>
      </c>
      <c r="K197" s="157" t="e">
        <f>K5+K33+#REF!+K89+K103+K106+K110+K114+K174+K177+K182+K187+K189</f>
        <v>#REF!</v>
      </c>
    </row>
    <row r="199" spans="1:19" s="123" customFormat="1" ht="18" x14ac:dyDescent="0.35">
      <c r="B199" s="124"/>
      <c r="C199" s="52"/>
      <c r="D199" s="125" t="s">
        <v>203</v>
      </c>
      <c r="E199" s="126"/>
      <c r="F199" s="52"/>
      <c r="G199" s="124"/>
      <c r="H199" s="124"/>
      <c r="I199" s="127"/>
      <c r="J199" s="86"/>
      <c r="K199" s="122"/>
      <c r="L199" s="128"/>
      <c r="M199" s="128"/>
      <c r="N199" s="19"/>
      <c r="O199" s="19"/>
      <c r="P199" s="19"/>
      <c r="Q199" s="19"/>
      <c r="R199" s="19"/>
      <c r="S199" s="128"/>
    </row>
    <row r="200" spans="1:19" s="123" customFormat="1" ht="18" x14ac:dyDescent="0.35">
      <c r="B200" s="124"/>
      <c r="C200" s="52"/>
      <c r="D200" s="127"/>
      <c r="E200" s="126"/>
      <c r="F200" s="52"/>
      <c r="G200" s="124"/>
      <c r="H200" s="124"/>
      <c r="I200" s="127"/>
      <c r="J200" s="86"/>
      <c r="K200" s="122"/>
      <c r="L200" s="128"/>
      <c r="M200" s="128"/>
      <c r="N200" s="19"/>
      <c r="O200" s="19"/>
      <c r="P200" s="19"/>
      <c r="Q200" s="19"/>
      <c r="R200" s="19"/>
      <c r="S200" s="128"/>
    </row>
    <row r="201" spans="1:19" s="123" customFormat="1" ht="30" customHeight="1" x14ac:dyDescent="0.35">
      <c r="B201" s="124"/>
      <c r="C201" s="52"/>
      <c r="D201" s="129" t="s">
        <v>204</v>
      </c>
      <c r="E201" s="126" t="s">
        <v>205</v>
      </c>
      <c r="F201" s="52"/>
      <c r="G201" s="124" t="s">
        <v>206</v>
      </c>
      <c r="H201" s="124"/>
      <c r="I201" s="127"/>
      <c r="J201" s="86"/>
      <c r="K201" s="122"/>
      <c r="L201" s="128"/>
      <c r="M201" s="128"/>
      <c r="N201" s="19"/>
      <c r="O201" s="19"/>
      <c r="P201" s="19"/>
      <c r="Q201" s="19"/>
      <c r="R201" s="19"/>
      <c r="S201" s="128"/>
    </row>
    <row r="202" spans="1:19" s="123" customFormat="1" ht="18" x14ac:dyDescent="0.35">
      <c r="B202" s="124"/>
      <c r="C202" s="52"/>
      <c r="D202" s="127"/>
      <c r="E202" s="126"/>
      <c r="F202" s="52"/>
      <c r="G202" s="124"/>
      <c r="H202" s="124"/>
      <c r="I202" s="127"/>
      <c r="J202" s="86"/>
      <c r="K202" s="122"/>
      <c r="L202" s="128"/>
      <c r="M202" s="128"/>
      <c r="N202" s="19"/>
      <c r="O202" s="19"/>
      <c r="P202" s="19"/>
      <c r="Q202" s="19"/>
      <c r="R202" s="19"/>
      <c r="S202" s="128"/>
    </row>
    <row r="203" spans="1:19" s="123" customFormat="1" ht="18" x14ac:dyDescent="0.35">
      <c r="B203" s="124"/>
      <c r="C203" s="52"/>
      <c r="D203" s="125" t="s">
        <v>207</v>
      </c>
      <c r="E203" s="126"/>
      <c r="F203" s="52"/>
      <c r="G203" s="124"/>
      <c r="H203" s="124"/>
      <c r="I203" s="127"/>
      <c r="J203" s="86"/>
      <c r="K203" s="122"/>
      <c r="L203" s="128"/>
      <c r="M203" s="128"/>
      <c r="N203" s="19"/>
      <c r="O203" s="19"/>
      <c r="P203" s="19"/>
      <c r="Q203" s="19"/>
      <c r="R203" s="19"/>
      <c r="S203" s="128"/>
    </row>
    <row r="204" spans="1:19" s="123" customFormat="1" ht="43.5" customHeight="1" x14ac:dyDescent="0.35">
      <c r="B204" s="124"/>
      <c r="C204" s="52"/>
      <c r="D204" s="130" t="s">
        <v>208</v>
      </c>
      <c r="E204" s="126" t="s">
        <v>209</v>
      </c>
      <c r="F204" s="52"/>
      <c r="G204" s="124" t="s">
        <v>210</v>
      </c>
      <c r="H204" s="124"/>
      <c r="I204" s="127"/>
      <c r="J204" s="86"/>
      <c r="K204" s="122"/>
      <c r="L204" s="128"/>
      <c r="M204" s="128"/>
      <c r="N204" s="19"/>
      <c r="O204" s="19"/>
      <c r="P204" s="19"/>
      <c r="Q204" s="19"/>
      <c r="R204" s="19"/>
      <c r="S204" s="128"/>
    </row>
    <row r="205" spans="1:19" s="123" customFormat="1" ht="42.75" customHeight="1" x14ac:dyDescent="0.35">
      <c r="B205" s="124"/>
      <c r="C205" s="52"/>
      <c r="D205" s="130" t="s">
        <v>211</v>
      </c>
      <c r="E205" s="126" t="s">
        <v>209</v>
      </c>
      <c r="F205" s="52"/>
      <c r="G205" s="124" t="s">
        <v>212</v>
      </c>
      <c r="H205" s="124"/>
      <c r="I205" s="127"/>
      <c r="J205" s="86"/>
      <c r="K205" s="122"/>
      <c r="L205" s="128"/>
      <c r="M205" s="128"/>
      <c r="N205" s="19"/>
      <c r="O205" s="19"/>
      <c r="P205" s="19"/>
      <c r="Q205" s="19"/>
      <c r="R205" s="19"/>
      <c r="S205" s="128"/>
    </row>
    <row r="206" spans="1:19" s="123" customFormat="1" ht="55.5" customHeight="1" x14ac:dyDescent="0.35">
      <c r="B206" s="124"/>
      <c r="C206" s="52"/>
      <c r="D206" s="130" t="s">
        <v>213</v>
      </c>
      <c r="E206" s="126" t="s">
        <v>209</v>
      </c>
      <c r="F206" s="52"/>
      <c r="G206" s="124" t="s">
        <v>214</v>
      </c>
      <c r="H206" s="124"/>
      <c r="I206" s="127"/>
      <c r="J206" s="86"/>
      <c r="K206" s="122"/>
      <c r="L206" s="128"/>
      <c r="M206" s="128"/>
      <c r="N206" s="19"/>
      <c r="O206" s="19"/>
      <c r="P206" s="19"/>
      <c r="Q206" s="19"/>
      <c r="R206" s="19"/>
      <c r="S206" s="128"/>
    </row>
    <row r="207" spans="1:19" x14ac:dyDescent="0.25">
      <c r="D207" s="3"/>
    </row>
  </sheetData>
  <mergeCells count="76">
    <mergeCell ref="B55:E55"/>
    <mergeCell ref="G55:I55"/>
    <mergeCell ref="A1:K1"/>
    <mergeCell ref="A2:A3"/>
    <mergeCell ref="B2:C2"/>
    <mergeCell ref="D2:D3"/>
    <mergeCell ref="E2:E3"/>
    <mergeCell ref="F2:F3"/>
    <mergeCell ref="G2:J2"/>
    <mergeCell ref="K2:K3"/>
    <mergeCell ref="B81:E81"/>
    <mergeCell ref="G81:I81"/>
    <mergeCell ref="B84:E84"/>
    <mergeCell ref="A4:K4"/>
    <mergeCell ref="A5:A32"/>
    <mergeCell ref="B5:E5"/>
    <mergeCell ref="G5:I5"/>
    <mergeCell ref="A33:A57"/>
    <mergeCell ref="B33:E33"/>
    <mergeCell ref="G33:I33"/>
    <mergeCell ref="B34:E34"/>
    <mergeCell ref="G34:I34"/>
    <mergeCell ref="B41:E41"/>
    <mergeCell ref="G41:I41"/>
    <mergeCell ref="B50:E50"/>
    <mergeCell ref="G50:I50"/>
    <mergeCell ref="G70:I70"/>
    <mergeCell ref="B73:E73"/>
    <mergeCell ref="G73:I73"/>
    <mergeCell ref="B79:E79"/>
    <mergeCell ref="G79:I79"/>
    <mergeCell ref="G84:I84"/>
    <mergeCell ref="A89:A109"/>
    <mergeCell ref="B89:D89"/>
    <mergeCell ref="G89:I89"/>
    <mergeCell ref="B103:E103"/>
    <mergeCell ref="G103:I103"/>
    <mergeCell ref="B106:E106"/>
    <mergeCell ref="G106:I106"/>
    <mergeCell ref="A58:A88"/>
    <mergeCell ref="B58:E58"/>
    <mergeCell ref="G58:I58"/>
    <mergeCell ref="B64:E64"/>
    <mergeCell ref="G64:I64"/>
    <mergeCell ref="B67:E67"/>
    <mergeCell ref="G67:I67"/>
    <mergeCell ref="B70:E70"/>
    <mergeCell ref="A110:A132"/>
    <mergeCell ref="B110:E110"/>
    <mergeCell ref="G110:I110"/>
    <mergeCell ref="B114:E114"/>
    <mergeCell ref="G114:I114"/>
    <mergeCell ref="B115:E115"/>
    <mergeCell ref="G115:I115"/>
    <mergeCell ref="A133:A157"/>
    <mergeCell ref="B133:E133"/>
    <mergeCell ref="G133:I133"/>
    <mergeCell ref="A158:A181"/>
    <mergeCell ref="B174:E174"/>
    <mergeCell ref="G174:I174"/>
    <mergeCell ref="B177:E177"/>
    <mergeCell ref="G177:I177"/>
    <mergeCell ref="B195:E195"/>
    <mergeCell ref="G195:I195"/>
    <mergeCell ref="A197:E197"/>
    <mergeCell ref="G197:I197"/>
    <mergeCell ref="A182:A188"/>
    <mergeCell ref="B182:E182"/>
    <mergeCell ref="G182:I182"/>
    <mergeCell ref="B187:E187"/>
    <mergeCell ref="G187:I187"/>
    <mergeCell ref="A189:A196"/>
    <mergeCell ref="B189:D189"/>
    <mergeCell ref="G189:I189"/>
    <mergeCell ref="B193:E193"/>
    <mergeCell ref="G193:I193"/>
  </mergeCells>
  <pageMargins left="0" right="0" top="0" bottom="0" header="0" footer="0"/>
  <pageSetup paperSize="9" scale="43" orientation="landscape" r:id="rId1"/>
  <rowBreaks count="6" manualBreakCount="6">
    <brk id="50" max="22" man="1"/>
    <brk id="57" max="22" man="1"/>
    <brk id="109" max="22" man="1"/>
    <brk id="132" max="22" man="1"/>
    <brk id="157" max="22" man="1"/>
    <brk id="181" max="22" man="1"/>
  </rowBreaks>
  <colBreaks count="1" manualBreakCount="1">
    <brk id="11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30"/>
  <sheetViews>
    <sheetView tabSelected="1" topLeftCell="A113" zoomScale="80" zoomScaleNormal="80" zoomScaleSheetLayoutView="110" workbookViewId="0">
      <selection activeCell="D125" sqref="D125"/>
    </sheetView>
  </sheetViews>
  <sheetFormatPr defaultColWidth="9.33203125" defaultRowHeight="15.6" x14ac:dyDescent="0.25"/>
  <cols>
    <col min="1" max="1" width="9.77734375" style="51" customWidth="1"/>
    <col min="2" max="2" width="8.109375" style="117" customWidth="1"/>
    <col min="3" max="3" width="11.77734375" style="52" customWidth="1"/>
    <col min="4" max="4" width="43.109375" style="2" customWidth="1"/>
    <col min="5" max="5" width="7.77734375" style="53" customWidth="1"/>
    <col min="6" max="6" width="13" style="52" customWidth="1"/>
    <col min="7" max="7" width="10.6640625" style="117" customWidth="1"/>
    <col min="8" max="8" width="9" style="117" customWidth="1"/>
    <col min="9" max="9" width="50.109375" style="2" customWidth="1"/>
    <col min="10" max="10" width="13.88671875" style="86" customWidth="1"/>
    <col min="11" max="11" width="11.77734375" style="122" customWidth="1"/>
    <col min="12" max="12" width="9.33203125" style="19"/>
    <col min="13" max="13" width="17.44140625" style="19" bestFit="1" customWidth="1"/>
    <col min="14" max="14" width="18.44140625" style="19" customWidth="1"/>
    <col min="15" max="15" width="16" style="19" customWidth="1"/>
    <col min="16" max="19" width="9.33203125" style="19"/>
    <col min="20" max="16384" width="9.33203125" style="1"/>
  </cols>
  <sheetData>
    <row r="1" spans="1:19" ht="51.75" customHeight="1" thickBot="1" x14ac:dyDescent="0.3">
      <c r="A1" s="280" t="s">
        <v>233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9" s="4" customFormat="1" ht="65.400000000000006" customHeight="1" x14ac:dyDescent="0.25">
      <c r="A2" s="281" t="s">
        <v>0</v>
      </c>
      <c r="B2" s="335" t="s">
        <v>1</v>
      </c>
      <c r="C2" s="335"/>
      <c r="D2" s="335" t="s">
        <v>2</v>
      </c>
      <c r="E2" s="336" t="s">
        <v>3</v>
      </c>
      <c r="F2" s="337" t="s">
        <v>4</v>
      </c>
      <c r="G2" s="338" t="s">
        <v>5</v>
      </c>
      <c r="H2" s="339"/>
      <c r="I2" s="339"/>
      <c r="J2" s="340"/>
      <c r="K2" s="341" t="s">
        <v>6</v>
      </c>
      <c r="L2" s="60"/>
      <c r="M2" s="60"/>
      <c r="N2" s="60"/>
      <c r="O2" s="60"/>
      <c r="P2" s="60"/>
      <c r="Q2" s="60"/>
      <c r="R2" s="60"/>
      <c r="S2" s="60"/>
    </row>
    <row r="3" spans="1:19" s="4" customFormat="1" ht="73.2" customHeight="1" thickBot="1" x14ac:dyDescent="0.3">
      <c r="A3" s="282"/>
      <c r="B3" s="342" t="s">
        <v>7</v>
      </c>
      <c r="C3" s="343" t="s">
        <v>8</v>
      </c>
      <c r="D3" s="344"/>
      <c r="E3" s="345"/>
      <c r="F3" s="346"/>
      <c r="G3" s="347" t="s">
        <v>9</v>
      </c>
      <c r="H3" s="348" t="s">
        <v>10</v>
      </c>
      <c r="I3" s="349" t="s">
        <v>11</v>
      </c>
      <c r="J3" s="136" t="s">
        <v>12</v>
      </c>
      <c r="K3" s="350"/>
      <c r="L3" s="60"/>
      <c r="M3" s="60"/>
      <c r="N3" s="60"/>
      <c r="O3" s="60"/>
      <c r="P3" s="60"/>
      <c r="Q3" s="60"/>
      <c r="R3" s="60"/>
      <c r="S3" s="60"/>
    </row>
    <row r="4" spans="1:19" ht="27" customHeight="1" thickBot="1" x14ac:dyDescent="0.3">
      <c r="A4" s="265" t="s">
        <v>234</v>
      </c>
      <c r="B4" s="266"/>
      <c r="C4" s="266"/>
      <c r="D4" s="266"/>
      <c r="E4" s="266"/>
      <c r="F4" s="266"/>
      <c r="G4" s="266"/>
      <c r="H4" s="266"/>
      <c r="I4" s="266"/>
      <c r="J4" s="266"/>
      <c r="K4" s="267"/>
    </row>
    <row r="5" spans="1:19" s="6" customFormat="1" ht="24" customHeight="1" x14ac:dyDescent="0.3">
      <c r="A5" s="261" t="s">
        <v>14</v>
      </c>
      <c r="B5" s="268" t="s">
        <v>15</v>
      </c>
      <c r="C5" s="269"/>
      <c r="D5" s="269"/>
      <c r="E5" s="270"/>
      <c r="F5" s="323">
        <f>F6+F7+F8+F9+F10+F11+F12+F13+F14+F15+F16+F17+F18+F19+F20+F21+F22+F23</f>
        <v>62.053999999999995</v>
      </c>
      <c r="G5" s="271" t="s">
        <v>15</v>
      </c>
      <c r="H5" s="269"/>
      <c r="I5" s="270"/>
      <c r="J5" s="203">
        <f>J6+J7+J8+J9+J10+J11+J12+J13+J14+J15+J16+J17+J18+J19+J20+J21+J22+J23</f>
        <v>43.42501</v>
      </c>
      <c r="K5" s="203">
        <f>K6+K7+K8+K9+K10+K11+K12+K13+K14+K15+K16+K17+K18+K19+K20+K21+K22+K23</f>
        <v>18.628990000000002</v>
      </c>
      <c r="L5" s="61"/>
      <c r="M5" s="62" t="e">
        <f>F5+F24+#REF!+F71+F83+F86+F88+F92+#REF!+#REF!+#REF!+#REF!+F112</f>
        <v>#REF!</v>
      </c>
      <c r="N5" s="19"/>
      <c r="O5" s="19"/>
      <c r="P5" s="19"/>
      <c r="Q5" s="19"/>
      <c r="R5" s="19"/>
      <c r="S5" s="61"/>
    </row>
    <row r="6" spans="1:19" s="19" customFormat="1" ht="18" customHeight="1" x14ac:dyDescent="0.25">
      <c r="A6" s="254"/>
      <c r="B6" s="118">
        <v>0</v>
      </c>
      <c r="C6" s="354">
        <v>9.1980000000000004</v>
      </c>
      <c r="D6" s="201" t="s">
        <v>243</v>
      </c>
      <c r="E6" s="321">
        <v>200</v>
      </c>
      <c r="F6" s="322">
        <v>9.1980000000000004</v>
      </c>
      <c r="G6" s="106">
        <v>0</v>
      </c>
      <c r="H6" s="106">
        <v>0</v>
      </c>
      <c r="I6" s="10" t="str">
        <f t="shared" ref="I6:I10" si="0">D6</f>
        <v>Дизельне паливо</v>
      </c>
      <c r="J6" s="208">
        <f>F6-K6</f>
        <v>0</v>
      </c>
      <c r="K6" s="218">
        <f>F6</f>
        <v>9.1980000000000004</v>
      </c>
    </row>
    <row r="7" spans="1:19" s="19" customFormat="1" ht="27.6" customHeight="1" x14ac:dyDescent="0.25">
      <c r="A7" s="254"/>
      <c r="B7" s="118">
        <v>0</v>
      </c>
      <c r="C7" s="322">
        <v>8.0299999999999994</v>
      </c>
      <c r="D7" s="201" t="s">
        <v>274</v>
      </c>
      <c r="E7" s="321">
        <v>2</v>
      </c>
      <c r="F7" s="322">
        <v>8.0299999999999994</v>
      </c>
      <c r="G7" s="106">
        <v>0</v>
      </c>
      <c r="H7" s="106">
        <v>0</v>
      </c>
      <c r="I7" s="10" t="str">
        <f t="shared" si="0"/>
        <v>Автогума Bridgestone Blizzak Revo GZ 185/60R15 845</v>
      </c>
      <c r="J7" s="208">
        <f t="shared" ref="J7:J10" si="1">F7</f>
        <v>8.0299999999999994</v>
      </c>
      <c r="K7" s="58">
        <f t="shared" ref="K7:K23" si="2">F7-J7</f>
        <v>0</v>
      </c>
    </row>
    <row r="8" spans="1:19" s="19" customFormat="1" ht="16.8" customHeight="1" x14ac:dyDescent="0.25">
      <c r="A8" s="254"/>
      <c r="B8" s="118">
        <v>0</v>
      </c>
      <c r="C8" s="322">
        <v>2.04</v>
      </c>
      <c r="D8" s="201" t="s">
        <v>254</v>
      </c>
      <c r="E8" s="321">
        <v>600</v>
      </c>
      <c r="F8" s="322">
        <v>2.04</v>
      </c>
      <c r="G8" s="106">
        <v>0</v>
      </c>
      <c r="H8" s="106">
        <v>0</v>
      </c>
      <c r="I8" s="10" t="str">
        <f t="shared" si="0"/>
        <v>Видаткова накладна</v>
      </c>
      <c r="J8" s="208">
        <f t="shared" si="1"/>
        <v>2.04</v>
      </c>
      <c r="K8" s="58">
        <f t="shared" si="2"/>
        <v>0</v>
      </c>
    </row>
    <row r="9" spans="1:19" s="19" customFormat="1" ht="31.5" customHeight="1" x14ac:dyDescent="0.25">
      <c r="A9" s="254"/>
      <c r="B9" s="118">
        <v>0</v>
      </c>
      <c r="C9" s="322">
        <v>1.7170000000000001</v>
      </c>
      <c r="D9" s="201" t="s">
        <v>255</v>
      </c>
      <c r="E9" s="321">
        <v>2</v>
      </c>
      <c r="F9" s="322">
        <v>1.7170000000000001</v>
      </c>
      <c r="G9" s="106">
        <v>0</v>
      </c>
      <c r="H9" s="106">
        <v>0</v>
      </c>
      <c r="I9" s="10" t="str">
        <f t="shared" si="0"/>
        <v>LUXEL панель врізна ультратонка LED 600*600мм 220-240V IP20</v>
      </c>
      <c r="J9" s="208">
        <f t="shared" si="1"/>
        <v>1.7170000000000001</v>
      </c>
      <c r="K9" s="58">
        <f t="shared" si="2"/>
        <v>0</v>
      </c>
    </row>
    <row r="10" spans="1:19" s="19" customFormat="1" ht="17.399999999999999" customHeight="1" x14ac:dyDescent="0.25">
      <c r="A10" s="254"/>
      <c r="B10" s="118">
        <v>0</v>
      </c>
      <c r="C10" s="322">
        <v>0.3</v>
      </c>
      <c r="D10" s="201" t="s">
        <v>256</v>
      </c>
      <c r="E10" s="321">
        <v>2</v>
      </c>
      <c r="F10" s="322">
        <v>0.3</v>
      </c>
      <c r="G10" s="106">
        <v>0</v>
      </c>
      <c r="H10" s="106">
        <v>0</v>
      </c>
      <c r="I10" s="10" t="str">
        <f t="shared" si="0"/>
        <v>Цемент ТЦ ІІА-В-500Р-Н 25кг</v>
      </c>
      <c r="J10" s="208">
        <f t="shared" si="1"/>
        <v>0.3</v>
      </c>
      <c r="K10" s="58">
        <f t="shared" si="2"/>
        <v>0</v>
      </c>
    </row>
    <row r="11" spans="1:19" s="19" customFormat="1" x14ac:dyDescent="0.25">
      <c r="A11" s="254"/>
      <c r="B11" s="118">
        <v>0</v>
      </c>
      <c r="C11" s="322">
        <v>0.313</v>
      </c>
      <c r="D11" s="295" t="s">
        <v>286</v>
      </c>
      <c r="E11" s="321">
        <v>2</v>
      </c>
      <c r="F11" s="322">
        <v>0.313</v>
      </c>
      <c r="G11" s="106">
        <v>0</v>
      </c>
      <c r="H11" s="106">
        <v>0</v>
      </c>
      <c r="I11" s="10" t="str">
        <f t="shared" ref="I11:I15" si="3">D11</f>
        <v>MASTER TOOL замазка літол - 24 100г</v>
      </c>
      <c r="J11" s="208">
        <f t="shared" ref="J11:J15" si="4">F11</f>
        <v>0.313</v>
      </c>
      <c r="K11" s="58">
        <f t="shared" si="2"/>
        <v>0</v>
      </c>
    </row>
    <row r="12" spans="1:19" s="19" customFormat="1" ht="31.5" customHeight="1" x14ac:dyDescent="0.25">
      <c r="A12" s="254"/>
      <c r="B12" s="118">
        <v>0</v>
      </c>
      <c r="C12" s="322">
        <v>0.16200000000000001</v>
      </c>
      <c r="D12" s="295" t="s">
        <v>287</v>
      </c>
      <c r="E12" s="321">
        <v>2</v>
      </c>
      <c r="F12" s="322">
        <v>0.16200000000000001</v>
      </c>
      <c r="G12" s="106">
        <v>0</v>
      </c>
      <c r="H12" s="106">
        <v>0</v>
      </c>
      <c r="I12" s="10" t="str">
        <f t="shared" si="3"/>
        <v>MASTER TOOL Ліска для тримера3,00млх15м "кручений квадрат"</v>
      </c>
      <c r="J12" s="208">
        <f t="shared" si="4"/>
        <v>0.16200000000000001</v>
      </c>
      <c r="K12" s="58">
        <f t="shared" si="2"/>
        <v>0</v>
      </c>
    </row>
    <row r="13" spans="1:19" s="19" customFormat="1" ht="27.6" customHeight="1" x14ac:dyDescent="0.25">
      <c r="A13" s="254"/>
      <c r="B13" s="118">
        <v>0</v>
      </c>
      <c r="C13" s="322">
        <v>0.80900000000000005</v>
      </c>
      <c r="D13" s="295" t="s">
        <v>288</v>
      </c>
      <c r="E13" s="321">
        <v>2</v>
      </c>
      <c r="F13" s="322">
        <v>0.80900000000000005</v>
      </c>
      <c r="G13" s="106">
        <v>0</v>
      </c>
      <c r="H13" s="106">
        <v>0</v>
      </c>
      <c r="I13" s="10" t="str">
        <f t="shared" si="3"/>
        <v>Зебра Емаль ПФ-115 "Народний МАЙСТЕР" 2,8кг 538 зелений мох</v>
      </c>
      <c r="J13" s="208">
        <f t="shared" si="4"/>
        <v>0.80900000000000005</v>
      </c>
      <c r="K13" s="58">
        <f t="shared" si="2"/>
        <v>0</v>
      </c>
    </row>
    <row r="14" spans="1:19" s="19" customFormat="1" ht="27" customHeight="1" x14ac:dyDescent="0.25">
      <c r="A14" s="254"/>
      <c r="B14" s="118">
        <v>0</v>
      </c>
      <c r="C14" s="322">
        <v>0.157</v>
      </c>
      <c r="D14" s="295" t="s">
        <v>289</v>
      </c>
      <c r="E14" s="321">
        <v>1</v>
      </c>
      <c r="F14" s="322">
        <v>0.157</v>
      </c>
      <c r="G14" s="106">
        <v>0</v>
      </c>
      <c r="H14" s="106">
        <v>0</v>
      </c>
      <c r="I14" s="10" t="str">
        <f t="shared" si="3"/>
        <v>Зебра Емаль ПФ-115 "Народний МАЙСТЕР" 0,9кг 575 червона калина</v>
      </c>
      <c r="J14" s="208">
        <f t="shared" si="4"/>
        <v>0.157</v>
      </c>
      <c r="K14" s="58">
        <f t="shared" si="2"/>
        <v>0</v>
      </c>
    </row>
    <row r="15" spans="1:19" s="19" customFormat="1" ht="15.6" customHeight="1" x14ac:dyDescent="0.25">
      <c r="A15" s="254"/>
      <c r="B15" s="118">
        <v>0</v>
      </c>
      <c r="C15" s="322">
        <v>2.1720000000000002</v>
      </c>
      <c r="D15" s="295" t="s">
        <v>292</v>
      </c>
      <c r="E15" s="321">
        <v>4</v>
      </c>
      <c r="F15" s="322">
        <v>2.1720000000000002</v>
      </c>
      <c r="G15" s="106">
        <v>0</v>
      </c>
      <c r="H15" s="106">
        <v>0</v>
      </c>
      <c r="I15" s="10" t="str">
        <f t="shared" si="3"/>
        <v>CЕRЕSIT клей для плитки СМ177 25кг</v>
      </c>
      <c r="J15" s="208">
        <f t="shared" si="4"/>
        <v>2.1720000000000002</v>
      </c>
      <c r="K15" s="58">
        <f t="shared" si="2"/>
        <v>0</v>
      </c>
    </row>
    <row r="16" spans="1:19" s="19" customFormat="1" ht="19.8" customHeight="1" x14ac:dyDescent="0.25">
      <c r="A16" s="254"/>
      <c r="B16" s="118">
        <v>0</v>
      </c>
      <c r="C16" s="322">
        <v>2.97</v>
      </c>
      <c r="D16" s="295" t="s">
        <v>290</v>
      </c>
      <c r="E16" s="321">
        <v>3</v>
      </c>
      <c r="F16" s="322">
        <v>2.97</v>
      </c>
      <c r="G16" s="106">
        <v>0</v>
      </c>
      <c r="H16" s="106">
        <v>0</v>
      </c>
      <c r="I16" s="10" t="str">
        <f t="shared" ref="I16:I17" si="5">D16</f>
        <v>31BEMI 203 оповіщувач звуковий</v>
      </c>
      <c r="J16" s="208">
        <f t="shared" ref="J16:J17" si="6">F16</f>
        <v>2.97</v>
      </c>
      <c r="K16" s="58">
        <f t="shared" si="2"/>
        <v>0</v>
      </c>
    </row>
    <row r="17" spans="1:19" s="19" customFormat="1" ht="28.2" customHeight="1" x14ac:dyDescent="0.25">
      <c r="A17" s="254"/>
      <c r="B17" s="118">
        <v>0</v>
      </c>
      <c r="C17" s="322">
        <v>1.746</v>
      </c>
      <c r="D17" s="295" t="s">
        <v>291</v>
      </c>
      <c r="E17" s="321">
        <v>3</v>
      </c>
      <c r="F17" s="322">
        <v>1.746</v>
      </c>
      <c r="G17" s="106">
        <v>0</v>
      </c>
      <c r="H17" s="106">
        <v>0</v>
      </c>
      <c r="I17" s="10" t="str">
        <f t="shared" si="5"/>
        <v>ОС 12У/5А (МРМ-АО12У5А блок живлення</v>
      </c>
      <c r="J17" s="208">
        <f t="shared" si="6"/>
        <v>1.746</v>
      </c>
      <c r="K17" s="58">
        <f t="shared" si="2"/>
        <v>0</v>
      </c>
    </row>
    <row r="18" spans="1:19" s="19" customFormat="1" ht="28.8" customHeight="1" x14ac:dyDescent="0.25">
      <c r="A18" s="254"/>
      <c r="B18" s="118">
        <v>0</v>
      </c>
      <c r="C18" s="322">
        <v>0.92</v>
      </c>
      <c r="D18" s="295" t="s">
        <v>293</v>
      </c>
      <c r="E18" s="321">
        <v>80</v>
      </c>
      <c r="F18" s="322">
        <v>0.92</v>
      </c>
      <c r="G18" s="106">
        <v>0</v>
      </c>
      <c r="H18" s="106">
        <v>0</v>
      </c>
      <c r="I18" s="10" t="str">
        <f t="shared" ref="I18:I20" si="7">D18</f>
        <v>Провод ШВВП  12*0,75 кабель живлення м.</v>
      </c>
      <c r="J18" s="208">
        <f t="shared" ref="J18:J19" si="8">F18</f>
        <v>0.92</v>
      </c>
      <c r="K18" s="58">
        <f t="shared" si="2"/>
        <v>0</v>
      </c>
    </row>
    <row r="19" spans="1:19" s="19" customFormat="1" ht="16.2" customHeight="1" x14ac:dyDescent="0.25">
      <c r="A19" s="254"/>
      <c r="B19" s="118">
        <v>0</v>
      </c>
      <c r="C19" s="322">
        <v>0.153</v>
      </c>
      <c r="D19" s="295" t="s">
        <v>294</v>
      </c>
      <c r="E19" s="321">
        <v>3</v>
      </c>
      <c r="F19" s="322">
        <v>0.153</v>
      </c>
      <c r="G19" s="106">
        <v>0</v>
      </c>
      <c r="H19" s="106">
        <v>0</v>
      </c>
      <c r="I19" s="10" t="str">
        <f t="shared" si="7"/>
        <v>Зажим для провода "универсал-2"</v>
      </c>
      <c r="J19" s="208">
        <f t="shared" si="8"/>
        <v>0.153</v>
      </c>
      <c r="K19" s="58">
        <f t="shared" si="2"/>
        <v>0</v>
      </c>
    </row>
    <row r="20" spans="1:19" s="19" customFormat="1" ht="16.8" customHeight="1" x14ac:dyDescent="0.25">
      <c r="A20" s="254"/>
      <c r="B20" s="118">
        <v>0</v>
      </c>
      <c r="C20" s="322">
        <v>10.788</v>
      </c>
      <c r="D20" s="296" t="s">
        <v>232</v>
      </c>
      <c r="E20" s="321">
        <v>200</v>
      </c>
      <c r="F20" s="322">
        <v>10.788</v>
      </c>
      <c r="G20" s="106">
        <v>0</v>
      </c>
      <c r="H20" s="106">
        <v>0</v>
      </c>
      <c r="I20" s="10" t="str">
        <f t="shared" si="7"/>
        <v>Бензин А-95 (в толонах)</v>
      </c>
      <c r="J20" s="208">
        <f>F20-K20</f>
        <v>1.3570100000000007</v>
      </c>
      <c r="K20" s="58">
        <v>9.4309899999999995</v>
      </c>
    </row>
    <row r="21" spans="1:19" s="19" customFormat="1" ht="16.8" customHeight="1" x14ac:dyDescent="0.25">
      <c r="A21" s="254"/>
      <c r="B21" s="118">
        <v>0</v>
      </c>
      <c r="C21" s="322">
        <v>8.9060000000000006</v>
      </c>
      <c r="D21" s="296" t="s">
        <v>304</v>
      </c>
      <c r="E21" s="321">
        <v>1</v>
      </c>
      <c r="F21" s="322">
        <v>8.9060000000000006</v>
      </c>
      <c r="G21" s="106">
        <v>0</v>
      </c>
      <c r="H21" s="106">
        <v>0</v>
      </c>
      <c r="I21" s="10" t="str">
        <f t="shared" ref="I21:I23" si="9">D21</f>
        <v xml:space="preserve">Огородження </v>
      </c>
      <c r="J21" s="208">
        <f t="shared" ref="J21:J23" si="10">F21</f>
        <v>8.9060000000000006</v>
      </c>
      <c r="K21" s="58">
        <f t="shared" si="2"/>
        <v>0</v>
      </c>
    </row>
    <row r="22" spans="1:19" s="19" customFormat="1" ht="13.8" customHeight="1" x14ac:dyDescent="0.25">
      <c r="A22" s="254"/>
      <c r="B22" s="118">
        <v>0</v>
      </c>
      <c r="C22" s="322">
        <v>0.6</v>
      </c>
      <c r="D22" s="296" t="s">
        <v>305</v>
      </c>
      <c r="E22" s="321">
        <v>4</v>
      </c>
      <c r="F22" s="322">
        <v>0.6</v>
      </c>
      <c r="G22" s="106">
        <v>0</v>
      </c>
      <c r="H22" s="106">
        <v>0</v>
      </c>
      <c r="I22" s="10" t="str">
        <f t="shared" si="9"/>
        <v>Цемент</v>
      </c>
      <c r="J22" s="208">
        <f t="shared" si="10"/>
        <v>0.6</v>
      </c>
      <c r="K22" s="58">
        <f t="shared" si="2"/>
        <v>0</v>
      </c>
    </row>
    <row r="23" spans="1:19" s="19" customFormat="1" ht="16.2" customHeight="1" thickBot="1" x14ac:dyDescent="0.3">
      <c r="A23" s="254"/>
      <c r="B23" s="118">
        <v>0</v>
      </c>
      <c r="C23" s="322">
        <v>11.073</v>
      </c>
      <c r="D23" s="296" t="s">
        <v>306</v>
      </c>
      <c r="E23" s="321">
        <v>1</v>
      </c>
      <c r="F23" s="322">
        <v>11.073</v>
      </c>
      <c r="G23" s="106">
        <v>0</v>
      </c>
      <c r="H23" s="106">
        <v>0</v>
      </c>
      <c r="I23" s="10" t="str">
        <f t="shared" si="9"/>
        <v>Будівельні матеріали та прилади</v>
      </c>
      <c r="J23" s="208">
        <f t="shared" si="10"/>
        <v>11.073</v>
      </c>
      <c r="K23" s="58">
        <f t="shared" si="2"/>
        <v>0</v>
      </c>
    </row>
    <row r="24" spans="1:19" s="6" customFormat="1" ht="28.8" customHeight="1" x14ac:dyDescent="0.3">
      <c r="A24" s="261" t="s">
        <v>216</v>
      </c>
      <c r="B24" s="272" t="s">
        <v>76</v>
      </c>
      <c r="C24" s="273"/>
      <c r="D24" s="273"/>
      <c r="E24" s="274"/>
      <c r="F24" s="324">
        <f>F25+F31+F39+F44+F50+F53+F56+F59+F63+F66</f>
        <v>265.45560999999998</v>
      </c>
      <c r="G24" s="275" t="s">
        <v>76</v>
      </c>
      <c r="H24" s="273"/>
      <c r="I24" s="274"/>
      <c r="J24" s="204">
        <f>J25+J31+J39+J44+J50+J53+J56+J59+J63+J66</f>
        <v>67.270989999999998</v>
      </c>
      <c r="K24" s="56">
        <f>K25+K31+K44+K50+K53+K56+K59+K63+K66+K39</f>
        <v>198.18462000000002</v>
      </c>
      <c r="L24" s="61"/>
      <c r="M24" s="61"/>
      <c r="N24" s="19"/>
      <c r="O24" s="19"/>
      <c r="P24" s="19"/>
      <c r="Q24" s="19"/>
      <c r="R24" s="19"/>
      <c r="S24" s="61"/>
    </row>
    <row r="25" spans="1:19" ht="16.8" customHeight="1" x14ac:dyDescent="0.25">
      <c r="A25" s="254"/>
      <c r="B25" s="297" t="s">
        <v>77</v>
      </c>
      <c r="C25" s="298"/>
      <c r="D25" s="298"/>
      <c r="E25" s="298"/>
      <c r="F25" s="325">
        <f>F26+F27+F28+F29+F30</f>
        <v>30.25658</v>
      </c>
      <c r="G25" s="298" t="s">
        <v>77</v>
      </c>
      <c r="H25" s="298"/>
      <c r="I25" s="298"/>
      <c r="J25" s="202">
        <f>J26+J27+J28+J29+J30</f>
        <v>0.98430999999999891</v>
      </c>
      <c r="K25" s="55">
        <f>SUM(K26:K30)</f>
        <v>29.272270000000002</v>
      </c>
    </row>
    <row r="26" spans="1:19" ht="31.2" customHeight="1" x14ac:dyDescent="0.25">
      <c r="A26" s="254"/>
      <c r="B26" s="118">
        <v>0</v>
      </c>
      <c r="C26" s="322">
        <v>1.272</v>
      </c>
      <c r="D26" s="10" t="s">
        <v>78</v>
      </c>
      <c r="E26" s="108">
        <v>0.2</v>
      </c>
      <c r="F26" s="322">
        <v>1.2718400000000001</v>
      </c>
      <c r="G26" s="106">
        <v>0</v>
      </c>
      <c r="H26" s="106">
        <v>0</v>
      </c>
      <c r="I26" s="10" t="str">
        <f t="shared" ref="I26:I30" si="11">D26</f>
        <v>Середовище культуральне Flushing Medium 5x60ml, паков</v>
      </c>
      <c r="J26" s="208">
        <f>F26-K26</f>
        <v>0</v>
      </c>
      <c r="K26" s="55">
        <f>F26</f>
        <v>1.2718400000000001</v>
      </c>
    </row>
    <row r="27" spans="1:19" ht="43.8" customHeight="1" x14ac:dyDescent="0.25">
      <c r="A27" s="254"/>
      <c r="B27" s="118">
        <v>0</v>
      </c>
      <c r="C27" s="322">
        <v>3.3029999999999999</v>
      </c>
      <c r="D27" s="31" t="s">
        <v>315</v>
      </c>
      <c r="E27" s="108">
        <v>1</v>
      </c>
      <c r="F27" s="322">
        <v>3.3033600000000001</v>
      </c>
      <c r="G27" s="106">
        <v>0</v>
      </c>
      <c r="H27" s="106">
        <v>0</v>
      </c>
      <c r="I27" s="10" t="str">
        <f t="shared" si="11"/>
        <v>Середовище культуральне UTMтм Transfer Medium 10 ml</v>
      </c>
      <c r="J27" s="208">
        <f>F27-K27</f>
        <v>0</v>
      </c>
      <c r="K27" s="55">
        <f>F27</f>
        <v>3.3033600000000001</v>
      </c>
    </row>
    <row r="28" spans="1:19" ht="32.25" customHeight="1" x14ac:dyDescent="0.25">
      <c r="A28" s="254"/>
      <c r="B28" s="118">
        <v>0</v>
      </c>
      <c r="C28" s="322">
        <v>16.611000000000001</v>
      </c>
      <c r="D28" s="10" t="s">
        <v>244</v>
      </c>
      <c r="E28" s="108">
        <v>1</v>
      </c>
      <c r="F28" s="322">
        <v>16.61131</v>
      </c>
      <c r="G28" s="106">
        <v>0</v>
      </c>
      <c r="H28" s="106">
        <v>0</v>
      </c>
      <c r="I28" s="10" t="str">
        <f t="shared" si="11"/>
        <v>Середовище культуральне ORIGIO SpermWash 5x60 ml</v>
      </c>
      <c r="J28" s="208">
        <f t="shared" ref="J28:J30" si="12">F28-K28</f>
        <v>0.98430999999999891</v>
      </c>
      <c r="K28" s="55">
        <v>15.627000000000001</v>
      </c>
    </row>
    <row r="29" spans="1:19" ht="32.25" customHeight="1" x14ac:dyDescent="0.25">
      <c r="A29" s="254"/>
      <c r="B29" s="118"/>
      <c r="C29" s="322">
        <v>2.4769999999999999</v>
      </c>
      <c r="D29" s="10" t="s">
        <v>312</v>
      </c>
      <c r="E29" s="108">
        <v>2</v>
      </c>
      <c r="F29" s="322">
        <v>2.47654</v>
      </c>
      <c r="G29" s="106"/>
      <c r="H29" s="106"/>
      <c r="I29" s="10" t="str">
        <f t="shared" si="11"/>
        <v xml:space="preserve">Середовище культуральне ORIGIO Seguential Fert™ 10ml </v>
      </c>
      <c r="J29" s="208">
        <f t="shared" si="12"/>
        <v>0</v>
      </c>
      <c r="K29" s="55">
        <f>F29</f>
        <v>2.47654</v>
      </c>
    </row>
    <row r="30" spans="1:19" ht="32.25" customHeight="1" x14ac:dyDescent="0.25">
      <c r="A30" s="254"/>
      <c r="B30" s="118">
        <v>0</v>
      </c>
      <c r="C30" s="322">
        <v>6.5940000000000003</v>
      </c>
      <c r="D30" s="10" t="s">
        <v>246</v>
      </c>
      <c r="E30" s="108">
        <v>3</v>
      </c>
      <c r="F30" s="322">
        <v>6.5935300000000003</v>
      </c>
      <c r="G30" s="106">
        <v>0</v>
      </c>
      <c r="H30" s="106">
        <v>0</v>
      </c>
      <c r="I30" s="10" t="str">
        <f t="shared" si="11"/>
        <v>Середовище культуральне SAGE 1-Step™ with Human Serum Albumin 10 ml</v>
      </c>
      <c r="J30" s="208">
        <f t="shared" si="12"/>
        <v>0</v>
      </c>
      <c r="K30" s="55">
        <f>F30</f>
        <v>6.5935300000000003</v>
      </c>
    </row>
    <row r="31" spans="1:19" ht="19.2" customHeight="1" x14ac:dyDescent="0.25">
      <c r="A31" s="254"/>
      <c r="B31" s="297" t="s">
        <v>77</v>
      </c>
      <c r="C31" s="298"/>
      <c r="D31" s="298"/>
      <c r="E31" s="298"/>
      <c r="F31" s="325">
        <f>F32+F33+F34+F35+F36+F37+F38</f>
        <v>41.281040000000004</v>
      </c>
      <c r="G31" s="298" t="s">
        <v>77</v>
      </c>
      <c r="H31" s="298"/>
      <c r="I31" s="298"/>
      <c r="J31" s="202">
        <f>J32+J33+J34+J35+J36+J37+J38</f>
        <v>1.7714900000000002</v>
      </c>
      <c r="K31" s="55">
        <f>SUM(K32:K38)</f>
        <v>39.509550000000004</v>
      </c>
    </row>
    <row r="32" spans="1:19" s="18" customFormat="1" ht="45.6" customHeight="1" x14ac:dyDescent="0.25">
      <c r="A32" s="254"/>
      <c r="B32" s="118">
        <v>0</v>
      </c>
      <c r="C32" s="322">
        <v>6.4720000000000004</v>
      </c>
      <c r="D32" s="299" t="s">
        <v>82</v>
      </c>
      <c r="E32" s="108">
        <v>3</v>
      </c>
      <c r="F32" s="322">
        <v>6.4720300000000002</v>
      </c>
      <c r="G32" s="106">
        <v>0</v>
      </c>
      <c r="H32" s="106">
        <v>0</v>
      </c>
      <c r="I32" s="10" t="str">
        <f t="shared" ref="I32:I38" si="13">D32</f>
        <v>Середовище культуральне SAGE 1-Step™ with Human Serum Albumin 10 ml, паков</v>
      </c>
      <c r="J32" s="208">
        <f t="shared" ref="J32:J38" si="14">F32-K32</f>
        <v>0</v>
      </c>
      <c r="K32" s="55">
        <f>F32</f>
        <v>6.4720300000000002</v>
      </c>
      <c r="L32" s="19"/>
      <c r="M32" s="19"/>
      <c r="N32" s="19"/>
      <c r="O32" s="19"/>
      <c r="P32" s="19"/>
      <c r="Q32" s="19"/>
      <c r="R32" s="19"/>
      <c r="S32" s="19"/>
    </row>
    <row r="33" spans="1:19" s="18" customFormat="1" ht="36.75" customHeight="1" x14ac:dyDescent="0.25">
      <c r="A33" s="254"/>
      <c r="B33" s="118">
        <v>0</v>
      </c>
      <c r="C33" s="322">
        <v>2.4300000000000002</v>
      </c>
      <c r="D33" s="31" t="s">
        <v>81</v>
      </c>
      <c r="E33" s="108">
        <v>2</v>
      </c>
      <c r="F33" s="322">
        <v>2.4308900000000002</v>
      </c>
      <c r="G33" s="106">
        <v>0</v>
      </c>
      <c r="H33" s="106">
        <v>0</v>
      </c>
      <c r="I33" s="10" t="str">
        <f t="shared" si="13"/>
        <v>Середовище культуральне ORIGIO Sequential Fert, 10 ml, паков</v>
      </c>
      <c r="J33" s="208">
        <f t="shared" si="14"/>
        <v>0</v>
      </c>
      <c r="K33" s="55">
        <f>F33</f>
        <v>2.4308900000000002</v>
      </c>
      <c r="L33" s="19"/>
      <c r="M33" s="19"/>
      <c r="N33" s="19"/>
      <c r="O33" s="19"/>
      <c r="P33" s="19"/>
      <c r="Q33" s="19"/>
      <c r="R33" s="19"/>
      <c r="S33" s="19"/>
    </row>
    <row r="34" spans="1:19" s="18" customFormat="1" ht="44.4" customHeight="1" x14ac:dyDescent="0.25">
      <c r="A34" s="254"/>
      <c r="B34" s="118">
        <v>0</v>
      </c>
      <c r="C34" s="322">
        <v>3.242</v>
      </c>
      <c r="D34" s="31" t="s">
        <v>80</v>
      </c>
      <c r="E34" s="108">
        <v>1</v>
      </c>
      <c r="F34" s="322">
        <v>3.2424900000000001</v>
      </c>
      <c r="G34" s="106">
        <v>0</v>
      </c>
      <c r="H34" s="106">
        <v>0</v>
      </c>
      <c r="I34" s="10" t="str">
        <f t="shared" si="13"/>
        <v>Середовище культуральне UTM Transfer Medium, with phenol red 10 ml, паков</v>
      </c>
      <c r="J34" s="208">
        <f t="shared" si="14"/>
        <v>1.72767</v>
      </c>
      <c r="K34" s="55">
        <v>1.5148200000000001</v>
      </c>
      <c r="L34" s="19"/>
      <c r="M34" s="19"/>
      <c r="N34" s="19"/>
      <c r="O34" s="19"/>
      <c r="P34" s="19"/>
      <c r="Q34" s="19"/>
      <c r="R34" s="19"/>
      <c r="S34" s="19"/>
    </row>
    <row r="35" spans="1:19" s="18" customFormat="1" ht="36.75" customHeight="1" x14ac:dyDescent="0.25">
      <c r="A35" s="254"/>
      <c r="B35" s="118">
        <v>0</v>
      </c>
      <c r="C35" s="322">
        <v>2.4969999999999999</v>
      </c>
      <c r="D35" s="31" t="s">
        <v>78</v>
      </c>
      <c r="E35" s="108">
        <v>0.4</v>
      </c>
      <c r="F35" s="322">
        <v>2.49682</v>
      </c>
      <c r="G35" s="106">
        <v>0</v>
      </c>
      <c r="H35" s="106">
        <v>0</v>
      </c>
      <c r="I35" s="10" t="str">
        <f t="shared" si="13"/>
        <v>Середовище культуральне Flushing Medium 5x60ml, паков</v>
      </c>
      <c r="J35" s="208">
        <f t="shared" si="14"/>
        <v>4.3820000000000192E-2</v>
      </c>
      <c r="K35" s="55">
        <v>2.4529999999999998</v>
      </c>
      <c r="L35" s="19"/>
      <c r="M35" s="19"/>
      <c r="N35" s="19"/>
      <c r="O35" s="19"/>
      <c r="P35" s="19"/>
      <c r="Q35" s="19"/>
      <c r="R35" s="19"/>
      <c r="S35" s="19"/>
    </row>
    <row r="36" spans="1:19" s="18" customFormat="1" ht="28.2" customHeight="1" x14ac:dyDescent="0.25">
      <c r="A36" s="254"/>
      <c r="B36" s="118"/>
      <c r="C36" s="322">
        <v>1.9590000000000001</v>
      </c>
      <c r="D36" s="10" t="s">
        <v>79</v>
      </c>
      <c r="E36" s="108">
        <v>0.2</v>
      </c>
      <c r="F36" s="322">
        <v>1.9588699999999999</v>
      </c>
      <c r="G36" s="106">
        <v>0</v>
      </c>
      <c r="H36" s="106">
        <v>0</v>
      </c>
      <c r="I36" s="10" t="str">
        <f t="shared" si="13"/>
        <v>Середовище культуральне ICSI Cumulase 5x0,5ml, паков</v>
      </c>
      <c r="J36" s="208">
        <f t="shared" si="14"/>
        <v>0</v>
      </c>
      <c r="K36" s="55">
        <f>F36</f>
        <v>1.9588699999999999</v>
      </c>
      <c r="L36" s="19"/>
      <c r="M36" s="19"/>
      <c r="N36" s="19"/>
      <c r="O36" s="19"/>
      <c r="P36" s="19"/>
      <c r="Q36" s="19"/>
      <c r="R36" s="19"/>
      <c r="S36" s="19"/>
    </row>
    <row r="37" spans="1:19" s="18" customFormat="1" ht="49.5" customHeight="1" x14ac:dyDescent="0.25">
      <c r="A37" s="254"/>
      <c r="B37" s="118">
        <v>0</v>
      </c>
      <c r="C37" s="322">
        <v>18.984999999999999</v>
      </c>
      <c r="D37" s="31" t="s">
        <v>87</v>
      </c>
      <c r="E37" s="106">
        <v>1</v>
      </c>
      <c r="F37" s="322">
        <v>18.984639999999999</v>
      </c>
      <c r="G37" s="106">
        <v>0</v>
      </c>
      <c r="H37" s="106">
        <v>0</v>
      </c>
      <c r="I37" s="10" t="str">
        <f t="shared" si="13"/>
        <v>Середовища культуральні PureCeption 24-Determination By-Layer Kit 12 x 12 ml, паков</v>
      </c>
      <c r="J37" s="208">
        <f t="shared" si="14"/>
        <v>0</v>
      </c>
      <c r="K37" s="55">
        <f>F37</f>
        <v>18.984639999999999</v>
      </c>
      <c r="L37" s="19"/>
      <c r="M37" s="19"/>
      <c r="N37" s="19"/>
      <c r="O37" s="19"/>
      <c r="P37" s="19"/>
      <c r="Q37" s="19"/>
      <c r="R37" s="19"/>
      <c r="S37" s="19"/>
    </row>
    <row r="38" spans="1:19" s="18" customFormat="1" ht="28.8" customHeight="1" x14ac:dyDescent="0.25">
      <c r="A38" s="254"/>
      <c r="B38" s="118">
        <v>0</v>
      </c>
      <c r="C38" s="322">
        <v>5.6950000000000003</v>
      </c>
      <c r="D38" s="201" t="s">
        <v>295</v>
      </c>
      <c r="E38" s="106">
        <v>1</v>
      </c>
      <c r="F38" s="322">
        <v>5.6952999999999996</v>
      </c>
      <c r="G38" s="106">
        <v>0</v>
      </c>
      <c r="H38" s="106">
        <v>0</v>
      </c>
      <c r="I38" s="10" t="str">
        <f t="shared" si="13"/>
        <v>STRIPPER® наконечник 1000µm, (20шт/уп) паков</v>
      </c>
      <c r="J38" s="208">
        <f t="shared" si="14"/>
        <v>0</v>
      </c>
      <c r="K38" s="58">
        <f>F38</f>
        <v>5.6952999999999996</v>
      </c>
      <c r="L38" s="19"/>
      <c r="M38" s="19"/>
      <c r="N38" s="19"/>
      <c r="O38" s="19"/>
      <c r="P38" s="19"/>
      <c r="Q38" s="19"/>
      <c r="R38" s="19"/>
      <c r="S38" s="19"/>
    </row>
    <row r="39" spans="1:19" s="19" customFormat="1" ht="22.2" customHeight="1" x14ac:dyDescent="0.25">
      <c r="A39" s="254"/>
      <c r="B39" s="300" t="s">
        <v>77</v>
      </c>
      <c r="C39" s="301"/>
      <c r="D39" s="301"/>
      <c r="E39" s="302"/>
      <c r="F39" s="325">
        <f>F40+F41+F42+F43</f>
        <v>20.983049999999999</v>
      </c>
      <c r="G39" s="303" t="s">
        <v>77</v>
      </c>
      <c r="H39" s="301"/>
      <c r="I39" s="302"/>
      <c r="J39" s="202">
        <f>J40+J41+J42+J43</f>
        <v>6.7051100000000012</v>
      </c>
      <c r="K39" s="55">
        <f>SUM(K40:K43)</f>
        <v>14.277940000000001</v>
      </c>
    </row>
    <row r="40" spans="1:19" s="19" customFormat="1" ht="46.5" customHeight="1" x14ac:dyDescent="0.25">
      <c r="A40" s="254"/>
      <c r="B40" s="118">
        <v>0</v>
      </c>
      <c r="C40" s="322">
        <f>F39:F40</f>
        <v>3.1860300000000001</v>
      </c>
      <c r="D40" s="31" t="s">
        <v>80</v>
      </c>
      <c r="E40" s="304">
        <v>1</v>
      </c>
      <c r="F40" s="322">
        <v>3.1860300000000001</v>
      </c>
      <c r="G40" s="106">
        <v>0</v>
      </c>
      <c r="H40" s="106">
        <v>0</v>
      </c>
      <c r="I40" s="10" t="str">
        <f t="shared" ref="I40:I42" si="15">D40</f>
        <v>Середовище культуральне UTM Transfer Medium, with phenol red 10 ml, паков</v>
      </c>
      <c r="J40" s="208">
        <f t="shared" ref="J40:J42" si="16">F40-K40</f>
        <v>3.1860300000000001</v>
      </c>
      <c r="K40" s="55">
        <v>0</v>
      </c>
    </row>
    <row r="41" spans="1:19" s="19" customFormat="1" ht="37.5" customHeight="1" x14ac:dyDescent="0.25">
      <c r="A41" s="254"/>
      <c r="B41" s="118">
        <v>0</v>
      </c>
      <c r="C41" s="322">
        <f t="shared" ref="C41" si="17">F40:F41</f>
        <v>1.22668</v>
      </c>
      <c r="D41" s="31" t="s">
        <v>78</v>
      </c>
      <c r="E41" s="304">
        <v>0.2</v>
      </c>
      <c r="F41" s="322">
        <v>1.22668</v>
      </c>
      <c r="G41" s="106">
        <v>0</v>
      </c>
      <c r="H41" s="106">
        <v>0</v>
      </c>
      <c r="I41" s="10" t="str">
        <f t="shared" si="15"/>
        <v>Середовище культуральне Flushing Medium 5x60ml, паков</v>
      </c>
      <c r="J41" s="208">
        <f t="shared" si="16"/>
        <v>1.22668</v>
      </c>
      <c r="K41" s="55">
        <v>0</v>
      </c>
    </row>
    <row r="42" spans="1:19" s="19" customFormat="1" ht="37.5" customHeight="1" x14ac:dyDescent="0.25">
      <c r="A42" s="254"/>
      <c r="B42" s="118">
        <v>0</v>
      </c>
      <c r="C42" s="322">
        <v>5.9710000000000001</v>
      </c>
      <c r="D42" s="31" t="s">
        <v>81</v>
      </c>
      <c r="E42" s="304">
        <v>5</v>
      </c>
      <c r="F42" s="322">
        <v>5.9714</v>
      </c>
      <c r="G42" s="106">
        <v>0</v>
      </c>
      <c r="H42" s="106">
        <v>0</v>
      </c>
      <c r="I42" s="10" t="str">
        <f t="shared" si="15"/>
        <v>Середовище культуральне ORIGIO Sequential Fert, 10 ml, паков</v>
      </c>
      <c r="J42" s="208">
        <f t="shared" si="16"/>
        <v>0</v>
      </c>
      <c r="K42" s="55">
        <f>F42</f>
        <v>5.9714</v>
      </c>
    </row>
    <row r="43" spans="1:19" s="19" customFormat="1" ht="43.8" customHeight="1" thickBot="1" x14ac:dyDescent="0.3">
      <c r="A43" s="254"/>
      <c r="B43" s="118">
        <v>0</v>
      </c>
      <c r="C43" s="322">
        <f t="shared" ref="C43" si="18">F42:F43</f>
        <v>10.598940000000001</v>
      </c>
      <c r="D43" s="31" t="s">
        <v>82</v>
      </c>
      <c r="E43" s="304">
        <v>5</v>
      </c>
      <c r="F43" s="322">
        <v>10.598940000000001</v>
      </c>
      <c r="G43" s="106">
        <v>0</v>
      </c>
      <c r="H43" s="106">
        <v>0</v>
      </c>
      <c r="I43" s="10" t="str">
        <f t="shared" ref="I43" si="19">D43</f>
        <v>Середовище культуральне SAGE 1-Step™ with Human Serum Albumin 10 ml, паков</v>
      </c>
      <c r="J43" s="208">
        <f t="shared" ref="J43" si="20">F43-K43</f>
        <v>2.2924000000000007</v>
      </c>
      <c r="K43" s="55">
        <v>8.30654</v>
      </c>
    </row>
    <row r="44" spans="1:19" ht="23.4" customHeight="1" x14ac:dyDescent="0.25">
      <c r="A44" s="261" t="s">
        <v>216</v>
      </c>
      <c r="B44" s="305" t="s">
        <v>77</v>
      </c>
      <c r="C44" s="306"/>
      <c r="D44" s="306"/>
      <c r="E44" s="306"/>
      <c r="F44" s="324">
        <f>F45+F46+F47+F48+F49</f>
        <v>47.197150000000001</v>
      </c>
      <c r="G44" s="306" t="s">
        <v>77</v>
      </c>
      <c r="H44" s="306"/>
      <c r="I44" s="306"/>
      <c r="J44" s="209">
        <f t="shared" ref="J44:J54" si="21">F44-K44</f>
        <v>10.38794</v>
      </c>
      <c r="K44" s="59">
        <f>SUM(K45:K49)</f>
        <v>36.80921</v>
      </c>
    </row>
    <row r="45" spans="1:19" ht="37.5" customHeight="1" x14ac:dyDescent="0.25">
      <c r="A45" s="254"/>
      <c r="B45" s="118">
        <v>0</v>
      </c>
      <c r="C45" s="322">
        <v>8.15</v>
      </c>
      <c r="D45" s="10" t="s">
        <v>247</v>
      </c>
      <c r="E45" s="108">
        <v>1</v>
      </c>
      <c r="F45" s="322">
        <v>9.2951599999999992</v>
      </c>
      <c r="G45" s="106">
        <v>0</v>
      </c>
      <c r="H45" s="106">
        <v>0</v>
      </c>
      <c r="I45" s="10" t="str">
        <f t="shared" ref="I45:I49" si="22">D45</f>
        <v>205 Середовища для розморожування (середовища 14,4 мл), шт</v>
      </c>
      <c r="J45" s="208">
        <f t="shared" si="21"/>
        <v>1.6427999999999994</v>
      </c>
      <c r="K45" s="55">
        <v>7.6523599999999998</v>
      </c>
    </row>
    <row r="46" spans="1:19" ht="37.5" customHeight="1" x14ac:dyDescent="0.25">
      <c r="A46" s="254"/>
      <c r="B46" s="118">
        <v>0</v>
      </c>
      <c r="C46" s="322">
        <v>9.2949999999999999</v>
      </c>
      <c r="D46" s="10" t="s">
        <v>247</v>
      </c>
      <c r="E46" s="108">
        <v>1</v>
      </c>
      <c r="F46" s="322">
        <v>8.1509900000000002</v>
      </c>
      <c r="G46" s="106">
        <v>0</v>
      </c>
      <c r="H46" s="106">
        <v>0</v>
      </c>
      <c r="I46" s="10" t="str">
        <f t="shared" si="22"/>
        <v>205 Середовища для розморожування (середовища 14,4 мл), шт</v>
      </c>
      <c r="J46" s="208">
        <v>9.3000000000000007</v>
      </c>
      <c r="K46" s="55">
        <v>0</v>
      </c>
    </row>
    <row r="47" spans="1:19" ht="37.5" customHeight="1" x14ac:dyDescent="0.25">
      <c r="A47" s="254"/>
      <c r="B47" s="118">
        <v>0</v>
      </c>
      <c r="C47" s="322">
        <v>14.872</v>
      </c>
      <c r="D47" s="10" t="s">
        <v>95</v>
      </c>
      <c r="E47" s="108">
        <v>2</v>
      </c>
      <c r="F47" s="322">
        <v>14.872249999999999</v>
      </c>
      <c r="G47" s="106">
        <v>0</v>
      </c>
      <c r="H47" s="106">
        <v>0</v>
      </c>
      <c r="I47" s="10" t="str">
        <f t="shared" si="22"/>
        <v>CR Соломини для вітрифікації (заморожування) Cryotec (10 од/уп), паков</v>
      </c>
      <c r="J47" s="208">
        <f t="shared" si="21"/>
        <v>0</v>
      </c>
      <c r="K47" s="55">
        <f>F47</f>
        <v>14.872249999999999</v>
      </c>
    </row>
    <row r="48" spans="1:19" ht="28.8" customHeight="1" x14ac:dyDescent="0.25">
      <c r="A48" s="254"/>
      <c r="B48" s="118">
        <v>0</v>
      </c>
      <c r="C48" s="322">
        <v>10.343</v>
      </c>
      <c r="D48" s="10" t="s">
        <v>250</v>
      </c>
      <c r="E48" s="108">
        <v>2</v>
      </c>
      <c r="F48" s="322">
        <v>10.343529999999999</v>
      </c>
      <c r="G48" s="106">
        <v>0</v>
      </c>
      <c r="H48" s="106">
        <v>0</v>
      </c>
      <c r="I48" s="10" t="s">
        <v>250</v>
      </c>
      <c r="J48" s="208">
        <f t="shared" si="21"/>
        <v>0.59414999999999907</v>
      </c>
      <c r="K48" s="55">
        <v>9.7493800000000004</v>
      </c>
    </row>
    <row r="49" spans="1:18" ht="31.8" customHeight="1" x14ac:dyDescent="0.25">
      <c r="A49" s="254"/>
      <c r="B49" s="118">
        <v>0</v>
      </c>
      <c r="C49" s="322">
        <v>4.5350000000000001</v>
      </c>
      <c r="D49" s="10" t="s">
        <v>89</v>
      </c>
      <c r="E49" s="108">
        <v>1</v>
      </c>
      <c r="F49" s="322">
        <v>4.5352199999999998</v>
      </c>
      <c r="G49" s="106">
        <v>0</v>
      </c>
      <c r="H49" s="106">
        <v>0</v>
      </c>
      <c r="I49" s="10" t="str">
        <f t="shared" si="22"/>
        <v>WP Пластикова чашка для вітрифікації (10 од/уп), паков</v>
      </c>
      <c r="J49" s="208">
        <f t="shared" si="21"/>
        <v>0</v>
      </c>
      <c r="K49" s="55">
        <f>F49</f>
        <v>4.5352199999999998</v>
      </c>
    </row>
    <row r="50" spans="1:18" ht="23.4" customHeight="1" x14ac:dyDescent="0.25">
      <c r="A50" s="254"/>
      <c r="B50" s="297" t="s">
        <v>77</v>
      </c>
      <c r="C50" s="298"/>
      <c r="D50" s="298"/>
      <c r="E50" s="298"/>
      <c r="F50" s="325">
        <f>F51+F52</f>
        <v>13.376110000000001</v>
      </c>
      <c r="G50" s="298" t="s">
        <v>77</v>
      </c>
      <c r="H50" s="298"/>
      <c r="I50" s="298"/>
      <c r="J50" s="208">
        <f t="shared" si="21"/>
        <v>0.50646000000000058</v>
      </c>
      <c r="K50" s="55">
        <f>SUM(K51:K52)</f>
        <v>12.86965</v>
      </c>
    </row>
    <row r="51" spans="1:18" ht="39.75" customHeight="1" x14ac:dyDescent="0.25">
      <c r="A51" s="254"/>
      <c r="B51" s="118">
        <v>0</v>
      </c>
      <c r="C51" s="322">
        <f>F49:F51</f>
        <v>5.6429900000000002</v>
      </c>
      <c r="D51" s="10" t="s">
        <v>90</v>
      </c>
      <c r="E51" s="108">
        <v>1</v>
      </c>
      <c r="F51" s="322">
        <v>5.6429900000000002</v>
      </c>
      <c r="G51" s="106">
        <v>0</v>
      </c>
      <c r="H51" s="106">
        <v>0</v>
      </c>
      <c r="I51" s="10" t="str">
        <f t="shared" ref="I51:I52" si="23">D51</f>
        <v>SPD-30 Мікропіпетки для часткового розсічення зони пелюсіда, з кутом 30° (10 од/уп)</v>
      </c>
      <c r="J51" s="208">
        <f t="shared" si="21"/>
        <v>0.50646000000000058</v>
      </c>
      <c r="K51" s="55">
        <v>5.1365299999999996</v>
      </c>
    </row>
    <row r="52" spans="1:18" ht="39.75" customHeight="1" x14ac:dyDescent="0.25">
      <c r="A52" s="254"/>
      <c r="B52" s="118">
        <v>0</v>
      </c>
      <c r="C52" s="322">
        <f t="shared" ref="C52" si="24">F51:F52</f>
        <v>7.7331200000000004</v>
      </c>
      <c r="D52" s="10" t="s">
        <v>91</v>
      </c>
      <c r="E52" s="108">
        <v>1</v>
      </c>
      <c r="F52" s="322">
        <v>7.7331200000000004</v>
      </c>
      <c r="G52" s="106">
        <v>0</v>
      </c>
      <c r="H52" s="106">
        <v>0</v>
      </c>
      <c r="I52" s="10" t="str">
        <f t="shared" si="23"/>
        <v>SIC-50W-35 Інжекторні мікропіпетки для проведення ІКСІ ID:5,0 мм/35° (10 од/уп)</v>
      </c>
      <c r="J52" s="208">
        <f t="shared" si="21"/>
        <v>0</v>
      </c>
      <c r="K52" s="55">
        <f>F52</f>
        <v>7.7331200000000004</v>
      </c>
    </row>
    <row r="53" spans="1:18" ht="19.2" customHeight="1" x14ac:dyDescent="0.25">
      <c r="A53" s="254"/>
      <c r="B53" s="297" t="s">
        <v>77</v>
      </c>
      <c r="C53" s="298"/>
      <c r="D53" s="298"/>
      <c r="E53" s="298"/>
      <c r="F53" s="325">
        <f>F54+F55</f>
        <v>18.67248</v>
      </c>
      <c r="G53" s="298" t="s">
        <v>77</v>
      </c>
      <c r="H53" s="298"/>
      <c r="I53" s="298"/>
      <c r="J53" s="208">
        <f t="shared" si="21"/>
        <v>0</v>
      </c>
      <c r="K53" s="55">
        <f>SUM(K54:K55)</f>
        <v>18.67248</v>
      </c>
    </row>
    <row r="54" spans="1:18" s="19" customFormat="1" ht="30" customHeight="1" x14ac:dyDescent="0.3">
      <c r="A54" s="254"/>
      <c r="B54" s="118">
        <v>0</v>
      </c>
      <c r="C54" s="322">
        <f>F52:F54</f>
        <v>10.78848</v>
      </c>
      <c r="D54" s="10" t="s">
        <v>251</v>
      </c>
      <c r="E54" s="106">
        <v>120</v>
      </c>
      <c r="F54" s="322">
        <v>10.78848</v>
      </c>
      <c r="G54" s="106">
        <v>0</v>
      </c>
      <c r="H54" s="106">
        <v>0</v>
      </c>
      <c r="I54" s="10" t="str">
        <f t="shared" ref="I54:I55" si="25">D54</f>
        <v>OOPW-FW03 Oosafe 4 лукова чашка, оброблена поверхня,4шт/уп.120шт/ящ</v>
      </c>
      <c r="J54" s="208">
        <f t="shared" si="21"/>
        <v>0</v>
      </c>
      <c r="K54" s="55">
        <f>F54</f>
        <v>10.78848</v>
      </c>
      <c r="N54" s="61"/>
      <c r="O54" s="61"/>
      <c r="P54" s="61"/>
      <c r="Q54" s="61"/>
      <c r="R54" s="61"/>
    </row>
    <row r="55" spans="1:18" s="19" customFormat="1" ht="34.200000000000003" customHeight="1" x14ac:dyDescent="0.25">
      <c r="A55" s="254"/>
      <c r="B55" s="118">
        <v>0</v>
      </c>
      <c r="C55" s="322">
        <f t="shared" ref="C55" si="26">F54:F55</f>
        <v>7.8840000000000003</v>
      </c>
      <c r="D55" s="10" t="s">
        <v>252</v>
      </c>
      <c r="E55" s="106">
        <v>500</v>
      </c>
      <c r="F55" s="322">
        <v>7.8840000000000003</v>
      </c>
      <c r="G55" s="106">
        <v>0</v>
      </c>
      <c r="H55" s="106">
        <v>0</v>
      </c>
      <c r="I55" s="10" t="str">
        <f t="shared" si="25"/>
        <v>OOPW-ОТ10  Oosafe пробирка для заборуооцитів14мл.10шт/уп. 500шт/ящ</v>
      </c>
      <c r="J55" s="208">
        <f>F55-K55</f>
        <v>0</v>
      </c>
      <c r="K55" s="55">
        <f>F55</f>
        <v>7.8840000000000003</v>
      </c>
    </row>
    <row r="56" spans="1:18" s="19" customFormat="1" ht="17.399999999999999" customHeight="1" x14ac:dyDescent="0.25">
      <c r="A56" s="254"/>
      <c r="B56" s="297" t="s">
        <v>77</v>
      </c>
      <c r="C56" s="298"/>
      <c r="D56" s="298"/>
      <c r="E56" s="298"/>
      <c r="F56" s="325">
        <f>F57+F58</f>
        <v>10.00572</v>
      </c>
      <c r="G56" s="298" t="s">
        <v>77</v>
      </c>
      <c r="H56" s="298"/>
      <c r="I56" s="298"/>
      <c r="J56" s="202">
        <f>J57+J58</f>
        <v>1.6142599999999989</v>
      </c>
      <c r="K56" s="55">
        <f>SUM(K57:K58)</f>
        <v>8.3914600000000004</v>
      </c>
    </row>
    <row r="57" spans="1:18" s="19" customFormat="1" ht="30" customHeight="1" x14ac:dyDescent="0.25">
      <c r="A57" s="254"/>
      <c r="B57" s="307"/>
      <c r="C57" s="354">
        <f>F54:F57</f>
        <v>9.7799999999999994</v>
      </c>
      <c r="D57" s="10" t="s">
        <v>308</v>
      </c>
      <c r="E57" s="47">
        <v>500</v>
      </c>
      <c r="F57" s="322">
        <v>9.7799999999999994</v>
      </c>
      <c r="G57" s="308"/>
      <c r="H57" s="308"/>
      <c r="I57" s="10" t="str">
        <f t="shared" ref="I57:I70" si="27">D57</f>
        <v>OOTF-TF06 Oosafe 35 мм чашка, необроблена поверхність, шт</v>
      </c>
      <c r="J57" s="208">
        <f>F57-K57</f>
        <v>1.456389999999999</v>
      </c>
      <c r="K57" s="55">
        <v>8.3236100000000004</v>
      </c>
    </row>
    <row r="58" spans="1:18" s="19" customFormat="1" ht="27.6" x14ac:dyDescent="0.3">
      <c r="A58" s="254"/>
      <c r="B58" s="118">
        <v>0</v>
      </c>
      <c r="C58" s="354">
        <f>F55:F58</f>
        <v>0.22572</v>
      </c>
      <c r="D58" s="10" t="s">
        <v>94</v>
      </c>
      <c r="E58" s="106">
        <v>10</v>
      </c>
      <c r="F58" s="322">
        <v>0.22572</v>
      </c>
      <c r="G58" s="106">
        <v>0</v>
      </c>
      <c r="H58" s="106">
        <v>0</v>
      </c>
      <c r="I58" s="10" t="str">
        <f t="shared" si="27"/>
        <v>OOPW-IC06 Oosafe 50 мм чашка, тонка стінка, необроблена поверхня, шт.</v>
      </c>
      <c r="J58" s="208">
        <f>F58-K58</f>
        <v>0.15787000000000001</v>
      </c>
      <c r="K58" s="55">
        <v>6.7849999999999994E-2</v>
      </c>
      <c r="N58" s="61"/>
      <c r="O58" s="61"/>
      <c r="P58" s="61"/>
      <c r="Q58" s="61"/>
      <c r="R58" s="61"/>
    </row>
    <row r="59" spans="1:18" s="19" customFormat="1" ht="20.399999999999999" customHeight="1" x14ac:dyDescent="0.25">
      <c r="A59" s="254"/>
      <c r="B59" s="297" t="s">
        <v>77</v>
      </c>
      <c r="C59" s="298"/>
      <c r="D59" s="298"/>
      <c r="E59" s="298"/>
      <c r="F59" s="325">
        <f>F60+F61+F62</f>
        <v>25.151609999999998</v>
      </c>
      <c r="G59" s="298" t="s">
        <v>77</v>
      </c>
      <c r="H59" s="298"/>
      <c r="I59" s="298"/>
      <c r="J59" s="202">
        <f>J60+J61+J62</f>
        <v>19.498250000000002</v>
      </c>
      <c r="K59" s="55">
        <f>SUM(K60:K62)</f>
        <v>5.6533599999999993</v>
      </c>
    </row>
    <row r="60" spans="1:18" s="19" customFormat="1" ht="27.6" x14ac:dyDescent="0.25">
      <c r="A60" s="254"/>
      <c r="B60" s="118">
        <v>0</v>
      </c>
      <c r="C60" s="322">
        <f>F58:F60</f>
        <v>8.2153500000000008</v>
      </c>
      <c r="D60" s="10" t="s">
        <v>261</v>
      </c>
      <c r="E60" s="108">
        <v>1</v>
      </c>
      <c r="F60" s="322">
        <v>8.2153500000000008</v>
      </c>
      <c r="G60" s="106">
        <v>0</v>
      </c>
      <c r="H60" s="106">
        <v>0</v>
      </c>
      <c r="I60" s="10" t="str">
        <f t="shared" si="27"/>
        <v xml:space="preserve">205 Середовища для розморожування (середовища 14,4мл) </v>
      </c>
      <c r="J60" s="208">
        <f>F60-K60</f>
        <v>8.2153500000000008</v>
      </c>
      <c r="K60" s="55">
        <v>0</v>
      </c>
    </row>
    <row r="61" spans="1:18" s="19" customFormat="1" ht="27.6" customHeight="1" x14ac:dyDescent="0.25">
      <c r="A61" s="254"/>
      <c r="B61" s="118">
        <v>0</v>
      </c>
      <c r="C61" s="322">
        <f t="shared" ref="C61:C69" si="28">F60:F61</f>
        <v>9.1422100000000004</v>
      </c>
      <c r="D61" s="10" t="s">
        <v>262</v>
      </c>
      <c r="E61" s="108">
        <v>2</v>
      </c>
      <c r="F61" s="322">
        <v>9.1422100000000004</v>
      </c>
      <c r="G61" s="106">
        <v>0</v>
      </c>
      <c r="H61" s="106">
        <v>0</v>
      </c>
      <c r="I61" s="10" t="str">
        <f t="shared" si="27"/>
        <v>WP Пластикова чашка для вітрифікації (10 од/уп)</v>
      </c>
      <c r="J61" s="79">
        <f t="shared" ref="J61:J62" si="29">F61-K61</f>
        <v>5.8776500000000009</v>
      </c>
      <c r="K61" s="55">
        <v>3.2645599999999999</v>
      </c>
    </row>
    <row r="62" spans="1:18" s="19" customFormat="1" ht="42" customHeight="1" x14ac:dyDescent="0.25">
      <c r="A62" s="254"/>
      <c r="B62" s="118">
        <v>0</v>
      </c>
      <c r="C62" s="322">
        <f t="shared" si="28"/>
        <v>7.7940500000000004</v>
      </c>
      <c r="D62" s="10" t="s">
        <v>91</v>
      </c>
      <c r="E62" s="108">
        <v>1</v>
      </c>
      <c r="F62" s="322">
        <v>7.7940500000000004</v>
      </c>
      <c r="G62" s="106">
        <v>0</v>
      </c>
      <c r="H62" s="106">
        <v>0</v>
      </c>
      <c r="I62" s="10" t="str">
        <f t="shared" si="27"/>
        <v>SIC-50W-35 Інжекторні мікропіпетки для проведення ІКСІ ID:5,0 мм/35° (10 од/уп)</v>
      </c>
      <c r="J62" s="79">
        <f t="shared" si="29"/>
        <v>5.4052500000000006</v>
      </c>
      <c r="K62" s="55">
        <v>2.3887999999999998</v>
      </c>
    </row>
    <row r="63" spans="1:18" s="19" customFormat="1" ht="19.2" customHeight="1" x14ac:dyDescent="0.25">
      <c r="A63" s="254"/>
      <c r="B63" s="297" t="s">
        <v>77</v>
      </c>
      <c r="C63" s="298"/>
      <c r="D63" s="298"/>
      <c r="E63" s="298"/>
      <c r="F63" s="325">
        <f>F64+F65</f>
        <v>16.910869999999999</v>
      </c>
      <c r="G63" s="298" t="s">
        <v>77</v>
      </c>
      <c r="H63" s="298"/>
      <c r="I63" s="298"/>
      <c r="J63" s="210">
        <f t="shared" ref="J63:J67" si="30">F63-K63</f>
        <v>11.426279999999998</v>
      </c>
      <c r="K63" s="55">
        <f>SUM(K65)</f>
        <v>5.4845899999999999</v>
      </c>
    </row>
    <row r="64" spans="1:18" s="19" customFormat="1" ht="66.599999999999994" customHeight="1" x14ac:dyDescent="0.25">
      <c r="A64" s="254"/>
      <c r="B64" s="118">
        <v>0</v>
      </c>
      <c r="C64" s="322">
        <f t="shared" ref="C64" si="31">F63:F64</f>
        <v>11.42628</v>
      </c>
      <c r="D64" s="31" t="s">
        <v>259</v>
      </c>
      <c r="E64" s="309">
        <v>10</v>
      </c>
      <c r="F64" s="322">
        <v>11.42628</v>
      </c>
      <c r="G64" s="106">
        <v>0</v>
      </c>
      <c r="H64" s="106">
        <v>0</v>
      </c>
      <c r="I64" s="10" t="str">
        <f t="shared" ref="I64:I65" si="32">D64</f>
        <v>K-JETS-7019-ЕТ Вигнутий катетер для переносу ембріонів з ЕСНО наконечніком, трансферний катетер 2.8Fr-24cm та навігаційний катетер 6.6Fr-17.3cm, шт</v>
      </c>
      <c r="J64" s="208">
        <f>F64-K64</f>
        <v>0</v>
      </c>
      <c r="K64" s="55">
        <f>F64</f>
        <v>11.42628</v>
      </c>
    </row>
    <row r="65" spans="1:19" s="19" customFormat="1" ht="63" thickBot="1" x14ac:dyDescent="0.3">
      <c r="A65" s="254"/>
      <c r="B65" s="120">
        <v>0</v>
      </c>
      <c r="C65" s="326">
        <f>F63:F65</f>
        <v>5.4845899999999999</v>
      </c>
      <c r="D65" s="205" t="s">
        <v>260</v>
      </c>
      <c r="E65" s="310">
        <v>1</v>
      </c>
      <c r="F65" s="326">
        <v>5.4845899999999999</v>
      </c>
      <c r="G65" s="115">
        <v>0</v>
      </c>
      <c r="H65" s="115">
        <v>0</v>
      </c>
      <c r="I65" s="22" t="str">
        <f t="shared" si="32"/>
        <v>K-НРІР-1035 Холдінгові мікропіпетки для проведення ІКСІ вн. діаметр 17um зовнішний діаметр 80um та кутом 35 градусів 10 одиниць в упаковці</v>
      </c>
      <c r="J65" s="211">
        <f>F65-K65</f>
        <v>0</v>
      </c>
      <c r="K65" s="54">
        <f>F65</f>
        <v>5.4845899999999999</v>
      </c>
    </row>
    <row r="66" spans="1:19" s="19" customFormat="1" ht="22.2" customHeight="1" x14ac:dyDescent="0.25">
      <c r="A66" s="254"/>
      <c r="B66" s="297" t="s">
        <v>77</v>
      </c>
      <c r="C66" s="298"/>
      <c r="D66" s="298"/>
      <c r="E66" s="298"/>
      <c r="F66" s="325">
        <f>F67+F68+F69+F70</f>
        <v>41.620999999999995</v>
      </c>
      <c r="G66" s="298" t="s">
        <v>77</v>
      </c>
      <c r="H66" s="298"/>
      <c r="I66" s="298"/>
      <c r="J66" s="210">
        <f t="shared" si="30"/>
        <v>14.376889999999996</v>
      </c>
      <c r="K66" s="55">
        <f>SUM(K67:K70)</f>
        <v>27.244109999999999</v>
      </c>
    </row>
    <row r="67" spans="1:19" ht="52.5" customHeight="1" x14ac:dyDescent="0.25">
      <c r="A67" s="254"/>
      <c r="B67" s="118">
        <v>0</v>
      </c>
      <c r="C67" s="322">
        <f>F65:F67</f>
        <v>8.3149999999999995</v>
      </c>
      <c r="D67" s="31" t="s">
        <v>97</v>
      </c>
      <c r="E67" s="309">
        <v>1</v>
      </c>
      <c r="F67" s="322">
        <v>8.3149999999999995</v>
      </c>
      <c r="G67" s="106">
        <v>0</v>
      </c>
      <c r="H67" s="106">
        <v>0</v>
      </c>
      <c r="I67" s="10" t="str">
        <f t="shared" si="27"/>
        <v>K-FPIP-1300-10BS-5 Піпетки для денудації 300 мікрон 5 туб по 10 піпеток (50од./уп.), паков</v>
      </c>
      <c r="J67" s="208">
        <f t="shared" si="30"/>
        <v>2.1223599999999996</v>
      </c>
      <c r="K67" s="55">
        <v>6.1926399999999999</v>
      </c>
    </row>
    <row r="68" spans="1:19" ht="63" customHeight="1" x14ac:dyDescent="0.3">
      <c r="A68" s="254"/>
      <c r="B68" s="118">
        <v>0</v>
      </c>
      <c r="C68" s="322">
        <f t="shared" si="28"/>
        <v>10.9</v>
      </c>
      <c r="D68" s="31" t="s">
        <v>92</v>
      </c>
      <c r="E68" s="309">
        <v>10</v>
      </c>
      <c r="F68" s="322">
        <v>10.9</v>
      </c>
      <c r="G68" s="106">
        <v>0</v>
      </c>
      <c r="H68" s="106">
        <v>0</v>
      </c>
      <c r="I68" s="10" t="str">
        <f t="shared" si="27"/>
        <v>K-JETS-7019 Вигнутий катетер для переносу ембріонів, трансферний катетер 2.8Fr-24cm та навігаційний катетер 6.6Fr-17.3cm, шт</v>
      </c>
      <c r="J68" s="208">
        <f>F68-K68</f>
        <v>7.01492</v>
      </c>
      <c r="K68" s="55">
        <v>3.8850799999999999</v>
      </c>
      <c r="N68" s="61"/>
      <c r="O68" s="61"/>
      <c r="P68" s="61"/>
      <c r="Q68" s="61"/>
      <c r="R68" s="61"/>
    </row>
    <row r="69" spans="1:19" ht="54.6" customHeight="1" thickBot="1" x14ac:dyDescent="0.35">
      <c r="A69" s="254"/>
      <c r="B69" s="119"/>
      <c r="C69" s="322">
        <f t="shared" si="28"/>
        <v>10.856</v>
      </c>
      <c r="D69" s="205" t="s">
        <v>98</v>
      </c>
      <c r="E69" s="311">
        <v>10</v>
      </c>
      <c r="F69" s="217">
        <v>10.856</v>
      </c>
      <c r="G69" s="107"/>
      <c r="H69" s="107"/>
      <c r="I69" s="10" t="s">
        <v>98</v>
      </c>
      <c r="J69" s="208">
        <f>F69-K69</f>
        <v>0</v>
      </c>
      <c r="K69" s="55">
        <f>F69</f>
        <v>10.856</v>
      </c>
      <c r="N69" s="61"/>
      <c r="O69" s="61"/>
      <c r="P69" s="61"/>
      <c r="Q69" s="61"/>
      <c r="R69" s="61"/>
    </row>
    <row r="70" spans="1:19" ht="65.400000000000006" customHeight="1" thickBot="1" x14ac:dyDescent="0.3">
      <c r="A70" s="255"/>
      <c r="B70" s="120">
        <v>0</v>
      </c>
      <c r="C70" s="326">
        <f>F68:F70</f>
        <v>11.55</v>
      </c>
      <c r="D70" s="205" t="s">
        <v>249</v>
      </c>
      <c r="E70" s="310">
        <v>2</v>
      </c>
      <c r="F70" s="326">
        <v>11.55</v>
      </c>
      <c r="G70" s="115">
        <v>0</v>
      </c>
      <c r="H70" s="115">
        <v>0</v>
      </c>
      <c r="I70" s="10" t="str">
        <f t="shared" si="27"/>
        <v>K-НПІП-1035 Холдінгові мікропіпетки для проведення ІКСІ вн. Діаметр 17um зовнішний діаметр 80um та кутом 35 градусів 10 одиниць в упаковці</v>
      </c>
      <c r="J70" s="211">
        <f>F70-K70</f>
        <v>5.2396100000000008</v>
      </c>
      <c r="K70" s="54">
        <v>6.3103899999999999</v>
      </c>
    </row>
    <row r="71" spans="1:19" s="6" customFormat="1" ht="22.8" customHeight="1" x14ac:dyDescent="0.3">
      <c r="A71" s="254"/>
      <c r="B71" s="240" t="s">
        <v>102</v>
      </c>
      <c r="C71" s="241"/>
      <c r="D71" s="241"/>
      <c r="E71" s="312"/>
      <c r="F71" s="327">
        <f>F72+F73+F74+F75+F76+F77+F78+F79+F80+F81+F82</f>
        <v>89.02600000000001</v>
      </c>
      <c r="G71" s="241" t="s">
        <v>102</v>
      </c>
      <c r="H71" s="241"/>
      <c r="I71" s="241"/>
      <c r="J71" s="206">
        <f>J72+J73+J74+J75+J76+J77+J78+J79+J80+J81+J82</f>
        <v>89.02600000000001</v>
      </c>
      <c r="K71" s="88">
        <v>0</v>
      </c>
      <c r="L71" s="61"/>
      <c r="M71" s="62"/>
      <c r="N71" s="19"/>
      <c r="O71" s="19"/>
      <c r="P71" s="19"/>
      <c r="Q71" s="19"/>
      <c r="R71" s="19"/>
      <c r="S71" s="61"/>
    </row>
    <row r="72" spans="1:19" ht="21" customHeight="1" x14ac:dyDescent="0.25">
      <c r="A72" s="254"/>
      <c r="B72" s="118">
        <v>0</v>
      </c>
      <c r="C72" s="322">
        <f t="shared" ref="C72:C85" si="33">F71:F72</f>
        <v>6.8360000000000003</v>
      </c>
      <c r="D72" s="10" t="s">
        <v>103</v>
      </c>
      <c r="E72" s="106">
        <v>1</v>
      </c>
      <c r="F72" s="322">
        <v>6.8360000000000003</v>
      </c>
      <c r="G72" s="106">
        <v>0</v>
      </c>
      <c r="H72" s="106">
        <v>0</v>
      </c>
      <c r="I72" s="10" t="str">
        <f t="shared" ref="I72:I85" si="34">D72</f>
        <v>Поточний ремонт автомобіля Opel COMBO 1,4</v>
      </c>
      <c r="J72" s="208">
        <f t="shared" ref="J72:J85" si="35">F72</f>
        <v>6.8360000000000003</v>
      </c>
      <c r="K72" s="55">
        <v>0</v>
      </c>
    </row>
    <row r="73" spans="1:19" ht="19.2" customHeight="1" x14ac:dyDescent="0.3">
      <c r="A73" s="254"/>
      <c r="B73" s="118">
        <v>0</v>
      </c>
      <c r="C73" s="322">
        <f t="shared" si="33"/>
        <v>0.5</v>
      </c>
      <c r="D73" s="10" t="s">
        <v>257</v>
      </c>
      <c r="E73" s="106">
        <v>1</v>
      </c>
      <c r="F73" s="322">
        <v>0.5</v>
      </c>
      <c r="G73" s="106">
        <v>0</v>
      </c>
      <c r="H73" s="106">
        <v>0</v>
      </c>
      <c r="I73" s="10" t="str">
        <f t="shared" si="34"/>
        <v>Послуга з шиномонтажу</v>
      </c>
      <c r="J73" s="208">
        <f t="shared" si="35"/>
        <v>0.5</v>
      </c>
      <c r="K73" s="55">
        <v>0</v>
      </c>
      <c r="N73" s="61"/>
      <c r="O73" s="61"/>
      <c r="P73" s="61"/>
      <c r="Q73" s="61"/>
      <c r="R73" s="61"/>
    </row>
    <row r="74" spans="1:19" ht="28.2" customHeight="1" x14ac:dyDescent="0.3">
      <c r="A74" s="254"/>
      <c r="B74" s="118">
        <v>0</v>
      </c>
      <c r="C74" s="322">
        <f t="shared" si="33"/>
        <v>2.016</v>
      </c>
      <c r="D74" s="10" t="s">
        <v>298</v>
      </c>
      <c r="E74" s="106">
        <v>1</v>
      </c>
      <c r="F74" s="322">
        <v>2.016</v>
      </c>
      <c r="G74" s="106">
        <v>0</v>
      </c>
      <c r="H74" s="106">
        <v>0</v>
      </c>
      <c r="I74" s="10" t="str">
        <f t="shared" si="34"/>
        <v>Послуга програмного забеспечення HELSI., 1 послуга за 07.23</v>
      </c>
      <c r="J74" s="208">
        <f t="shared" si="35"/>
        <v>2.016</v>
      </c>
      <c r="K74" s="55">
        <v>0</v>
      </c>
      <c r="N74" s="61"/>
      <c r="O74" s="61"/>
      <c r="P74" s="61"/>
      <c r="Q74" s="61"/>
      <c r="R74" s="61"/>
    </row>
    <row r="75" spans="1:19" ht="39.75" customHeight="1" x14ac:dyDescent="0.3">
      <c r="A75" s="254"/>
      <c r="B75" s="118">
        <v>0</v>
      </c>
      <c r="C75" s="322">
        <f t="shared" si="33"/>
        <v>1.512</v>
      </c>
      <c r="D75" s="10" t="s">
        <v>105</v>
      </c>
      <c r="E75" s="106">
        <v>1</v>
      </c>
      <c r="F75" s="322">
        <v>1.512</v>
      </c>
      <c r="G75" s="106">
        <v>0</v>
      </c>
      <c r="H75" s="106">
        <v>0</v>
      </c>
      <c r="I75" s="10" t="str">
        <f t="shared" si="34"/>
        <v>Послуга програмного забеспечення HELSI., 1 послуга за 01.23</v>
      </c>
      <c r="J75" s="208">
        <f t="shared" si="35"/>
        <v>1.512</v>
      </c>
      <c r="K75" s="55">
        <v>0</v>
      </c>
      <c r="N75" s="61"/>
      <c r="O75" s="61"/>
      <c r="P75" s="61"/>
      <c r="Q75" s="61"/>
      <c r="R75" s="61"/>
    </row>
    <row r="76" spans="1:19" ht="39.75" customHeight="1" x14ac:dyDescent="0.3">
      <c r="A76" s="254"/>
      <c r="B76" s="118">
        <v>0</v>
      </c>
      <c r="C76" s="322">
        <f t="shared" si="33"/>
        <v>29.675000000000001</v>
      </c>
      <c r="D76" s="10" t="s">
        <v>297</v>
      </c>
      <c r="E76" s="106">
        <v>1</v>
      </c>
      <c r="F76" s="322">
        <v>29.675000000000001</v>
      </c>
      <c r="G76" s="106">
        <v>0</v>
      </c>
      <c r="H76" s="106">
        <v>0</v>
      </c>
      <c r="I76" s="10" t="str">
        <f t="shared" si="34"/>
        <v>Послуга вогнегасне оброблення дерев'яних конструкцій горищних приміщень 1 послуга</v>
      </c>
      <c r="J76" s="208">
        <f t="shared" si="35"/>
        <v>29.675000000000001</v>
      </c>
      <c r="K76" s="55">
        <v>0</v>
      </c>
      <c r="N76" s="61"/>
      <c r="O76" s="61"/>
      <c r="P76" s="61"/>
      <c r="Q76" s="61"/>
      <c r="R76" s="61"/>
    </row>
    <row r="77" spans="1:19" ht="39.75" customHeight="1" x14ac:dyDescent="0.25">
      <c r="A77" s="254"/>
      <c r="B77" s="118">
        <v>0</v>
      </c>
      <c r="C77" s="322">
        <f>F77:F77</f>
        <v>5.49</v>
      </c>
      <c r="D77" s="10" t="s">
        <v>258</v>
      </c>
      <c r="E77" s="106">
        <v>1</v>
      </c>
      <c r="F77" s="322">
        <v>5.49</v>
      </c>
      <c r="G77" s="106">
        <v>0</v>
      </c>
      <c r="H77" s="106">
        <v>0</v>
      </c>
      <c r="I77" s="10" t="str">
        <f t="shared" si="34"/>
        <v>Доступ в режимі он-лайн до електроних баз наукової ынформації, інфор. ресурс Довідник головної медичної сестри</v>
      </c>
      <c r="J77" s="208">
        <f t="shared" si="35"/>
        <v>5.49</v>
      </c>
      <c r="K77" s="55">
        <v>0</v>
      </c>
    </row>
    <row r="78" spans="1:19" ht="15.6" customHeight="1" x14ac:dyDescent="0.25">
      <c r="A78" s="254"/>
      <c r="B78" s="118">
        <v>0</v>
      </c>
      <c r="C78" s="322">
        <f t="shared" si="33"/>
        <v>31.251000000000001</v>
      </c>
      <c r="D78" s="10" t="s">
        <v>299</v>
      </c>
      <c r="E78" s="106">
        <v>1</v>
      </c>
      <c r="F78" s="322">
        <v>31.251000000000001</v>
      </c>
      <c r="G78" s="106">
        <v>0</v>
      </c>
      <c r="H78" s="106">
        <v>0</v>
      </c>
      <c r="I78" s="10" t="str">
        <f t="shared" si="34"/>
        <v xml:space="preserve">Послуги архівні </v>
      </c>
      <c r="J78" s="208">
        <f t="shared" si="35"/>
        <v>31.251000000000001</v>
      </c>
      <c r="K78" s="55">
        <v>0</v>
      </c>
    </row>
    <row r="79" spans="1:19" ht="30.6" customHeight="1" x14ac:dyDescent="0.25">
      <c r="A79" s="254"/>
      <c r="B79" s="118">
        <v>0</v>
      </c>
      <c r="C79" s="322">
        <f t="shared" si="33"/>
        <v>4</v>
      </c>
      <c r="D79" s="10" t="s">
        <v>296</v>
      </c>
      <c r="E79" s="106">
        <v>1</v>
      </c>
      <c r="F79" s="322">
        <v>4</v>
      </c>
      <c r="G79" s="106">
        <v>0</v>
      </c>
      <c r="H79" s="106">
        <v>0</v>
      </c>
      <c r="I79" s="10" t="str">
        <f t="shared" si="34"/>
        <v>Послуги з обслуговування мережі інтернет за 08.2023 1 послуга</v>
      </c>
      <c r="J79" s="208">
        <f t="shared" si="35"/>
        <v>4</v>
      </c>
      <c r="K79" s="55">
        <v>0</v>
      </c>
    </row>
    <row r="80" spans="1:19" ht="25.8" customHeight="1" x14ac:dyDescent="0.25">
      <c r="A80" s="254"/>
      <c r="B80" s="118">
        <v>0</v>
      </c>
      <c r="C80" s="322">
        <f t="shared" si="33"/>
        <v>4</v>
      </c>
      <c r="D80" s="10" t="s">
        <v>309</v>
      </c>
      <c r="E80" s="106">
        <v>1</v>
      </c>
      <c r="F80" s="322">
        <v>4</v>
      </c>
      <c r="G80" s="106">
        <v>0</v>
      </c>
      <c r="H80" s="106">
        <v>0</v>
      </c>
      <c r="I80" s="10" t="str">
        <f t="shared" si="34"/>
        <v>Послуги з обслуговування мережі інтернет за 07.2023 1 послуга</v>
      </c>
      <c r="J80" s="208">
        <f t="shared" si="35"/>
        <v>4</v>
      </c>
      <c r="K80" s="55">
        <v>0</v>
      </c>
    </row>
    <row r="81" spans="1:19" ht="29.4" customHeight="1" x14ac:dyDescent="0.25">
      <c r="A81" s="254"/>
      <c r="B81" s="119">
        <v>0</v>
      </c>
      <c r="C81" s="217">
        <f t="shared" si="33"/>
        <v>1.73</v>
      </c>
      <c r="D81" s="313" t="s">
        <v>113</v>
      </c>
      <c r="E81" s="311">
        <v>1</v>
      </c>
      <c r="F81" s="328">
        <v>1.73</v>
      </c>
      <c r="G81" s="106">
        <v>0</v>
      </c>
      <c r="H81" s="106">
        <v>0</v>
      </c>
      <c r="I81" s="10" t="str">
        <f t="shared" si="34"/>
        <v>Поточний ремонт автомобіля  OPEL Combo</v>
      </c>
      <c r="J81" s="208">
        <f t="shared" si="35"/>
        <v>1.73</v>
      </c>
      <c r="K81" s="55">
        <v>0</v>
      </c>
    </row>
    <row r="82" spans="1:19" ht="39.75" customHeight="1" thickBot="1" x14ac:dyDescent="0.3">
      <c r="A82" s="254"/>
      <c r="B82" s="119">
        <v>0</v>
      </c>
      <c r="C82" s="217">
        <f t="shared" ref="C82" si="36">F80:F82</f>
        <v>2.016</v>
      </c>
      <c r="D82" s="10" t="s">
        <v>310</v>
      </c>
      <c r="E82" s="311">
        <v>1</v>
      </c>
      <c r="F82" s="217">
        <v>2.016</v>
      </c>
      <c r="G82" s="107">
        <v>0</v>
      </c>
      <c r="H82" s="107">
        <v>0</v>
      </c>
      <c r="I82" s="14" t="str">
        <f t="shared" si="34"/>
        <v>Послуга програмного забеспечення HELSI., 1 послуга за 06.23</v>
      </c>
      <c r="J82" s="212">
        <f t="shared" si="35"/>
        <v>2.016</v>
      </c>
      <c r="K82" s="89">
        <v>0</v>
      </c>
    </row>
    <row r="83" spans="1:19" s="6" customFormat="1" ht="24" customHeight="1" x14ac:dyDescent="0.3">
      <c r="A83" s="254"/>
      <c r="B83" s="272" t="s">
        <v>115</v>
      </c>
      <c r="C83" s="273"/>
      <c r="D83" s="273"/>
      <c r="E83" s="274"/>
      <c r="F83" s="319">
        <f>F84+F85</f>
        <v>4.2200000000000006</v>
      </c>
      <c r="G83" s="258" t="s">
        <v>115</v>
      </c>
      <c r="H83" s="259"/>
      <c r="I83" s="260"/>
      <c r="J83" s="209">
        <f>J84+J85</f>
        <v>4.2200000000000006</v>
      </c>
      <c r="K83" s="59">
        <v>0</v>
      </c>
      <c r="L83" s="61"/>
      <c r="M83" s="61"/>
      <c r="N83" s="19"/>
      <c r="O83" s="19"/>
      <c r="P83" s="19"/>
      <c r="Q83" s="19"/>
      <c r="R83" s="19"/>
      <c r="S83" s="61"/>
    </row>
    <row r="84" spans="1:19" ht="21.6" customHeight="1" x14ac:dyDescent="0.25">
      <c r="A84" s="254"/>
      <c r="B84" s="118">
        <v>0</v>
      </c>
      <c r="C84" s="322">
        <f>F80:F84</f>
        <v>1</v>
      </c>
      <c r="D84" s="10" t="s">
        <v>116</v>
      </c>
      <c r="E84" s="106">
        <v>1</v>
      </c>
      <c r="F84" s="322">
        <v>1</v>
      </c>
      <c r="G84" s="106">
        <v>0</v>
      </c>
      <c r="H84" s="106">
        <v>0</v>
      </c>
      <c r="I84" s="10" t="str">
        <f t="shared" si="34"/>
        <v>Послуга з навчання з охорони праці</v>
      </c>
      <c r="J84" s="208">
        <f t="shared" si="35"/>
        <v>1</v>
      </c>
      <c r="K84" s="55">
        <v>0</v>
      </c>
    </row>
    <row r="85" spans="1:19" ht="29.25" customHeight="1" thickBot="1" x14ac:dyDescent="0.3">
      <c r="A85" s="254"/>
      <c r="B85" s="119">
        <v>0</v>
      </c>
      <c r="C85" s="217">
        <f t="shared" si="33"/>
        <v>3.22</v>
      </c>
      <c r="D85" s="14" t="s">
        <v>253</v>
      </c>
      <c r="E85" s="107">
        <v>1</v>
      </c>
      <c r="F85" s="217">
        <v>3.22</v>
      </c>
      <c r="G85" s="107">
        <v>0</v>
      </c>
      <c r="H85" s="107">
        <v>0</v>
      </c>
      <c r="I85" s="14" t="str">
        <f t="shared" si="34"/>
        <v>Послуга з навчання у сфері здійснення публічних закупівель</v>
      </c>
      <c r="J85" s="212">
        <f t="shared" si="35"/>
        <v>3.22</v>
      </c>
      <c r="K85" s="89">
        <v>0</v>
      </c>
    </row>
    <row r="86" spans="1:19" s="27" customFormat="1" ht="33" customHeight="1" x14ac:dyDescent="0.25">
      <c r="A86" s="254"/>
      <c r="B86" s="235" t="s">
        <v>117</v>
      </c>
      <c r="C86" s="236"/>
      <c r="D86" s="236"/>
      <c r="E86" s="236"/>
      <c r="F86" s="324">
        <f>F87</f>
        <v>46.56</v>
      </c>
      <c r="G86" s="236" t="s">
        <v>117</v>
      </c>
      <c r="H86" s="236"/>
      <c r="I86" s="236"/>
      <c r="J86" s="209">
        <f>J87</f>
        <v>46.56</v>
      </c>
      <c r="K86" s="59">
        <v>0</v>
      </c>
      <c r="L86" s="63"/>
      <c r="M86" s="63"/>
      <c r="N86" s="19"/>
      <c r="O86" s="19"/>
      <c r="P86" s="19"/>
      <c r="Q86" s="19"/>
      <c r="R86" s="19"/>
      <c r="S86" s="63"/>
    </row>
    <row r="87" spans="1:19" ht="48" customHeight="1" thickBot="1" x14ac:dyDescent="0.3">
      <c r="A87" s="254"/>
      <c r="B87" s="118">
        <v>0</v>
      </c>
      <c r="C87" s="354">
        <f t="shared" ref="C87" si="37">F86:F87</f>
        <v>46.56</v>
      </c>
      <c r="D87" s="31" t="s">
        <v>300</v>
      </c>
      <c r="E87" s="314">
        <v>1</v>
      </c>
      <c r="F87" s="329">
        <v>46.56</v>
      </c>
      <c r="G87" s="106">
        <v>0</v>
      </c>
      <c r="H87" s="106">
        <v>0</v>
      </c>
      <c r="I87" s="10" t="str">
        <f t="shared" ref="I87" si="38">D87</f>
        <v>Монітор медичний для візуалізаціїзображення HD з ендоскопічної камери" NDS Radiance 19"</v>
      </c>
      <c r="J87" s="208">
        <f t="shared" ref="J87:J91" si="39">F87</f>
        <v>46.56</v>
      </c>
      <c r="K87" s="55">
        <v>0</v>
      </c>
    </row>
    <row r="88" spans="1:19" s="6" customFormat="1" ht="26.25" customHeight="1" x14ac:dyDescent="0.3">
      <c r="A88" s="242" t="s">
        <v>121</v>
      </c>
      <c r="B88" s="235" t="s">
        <v>122</v>
      </c>
      <c r="C88" s="236"/>
      <c r="D88" s="236"/>
      <c r="E88" s="236"/>
      <c r="F88" s="330">
        <f>F89+F90+F91</f>
        <v>32.509</v>
      </c>
      <c r="G88" s="236" t="s">
        <v>122</v>
      </c>
      <c r="H88" s="236"/>
      <c r="I88" s="236"/>
      <c r="J88" s="165">
        <f>J89+J90+J91</f>
        <v>32.509</v>
      </c>
      <c r="K88" s="59">
        <v>0</v>
      </c>
      <c r="L88" s="61"/>
      <c r="M88" s="64"/>
      <c r="N88" s="19"/>
      <c r="O88" s="19"/>
      <c r="P88" s="19"/>
      <c r="Q88" s="19"/>
      <c r="R88" s="19"/>
      <c r="S88" s="61"/>
    </row>
    <row r="89" spans="1:19" s="6" customFormat="1" ht="45" customHeight="1" x14ac:dyDescent="0.3">
      <c r="A89" s="243"/>
      <c r="B89" s="315">
        <f>-E943</f>
        <v>0</v>
      </c>
      <c r="C89" s="355">
        <v>32.494</v>
      </c>
      <c r="D89" s="201" t="s">
        <v>263</v>
      </c>
      <c r="E89" s="213">
        <v>2</v>
      </c>
      <c r="F89" s="331">
        <v>32.494</v>
      </c>
      <c r="G89" s="106">
        <v>0</v>
      </c>
      <c r="H89" s="175" t="s">
        <v>266</v>
      </c>
      <c r="I89" s="201" t="s">
        <v>263</v>
      </c>
      <c r="J89" s="208">
        <f t="shared" si="39"/>
        <v>32.494</v>
      </c>
      <c r="K89" s="55">
        <v>0</v>
      </c>
      <c r="L89" s="61"/>
      <c r="M89" s="61"/>
      <c r="N89" s="19"/>
      <c r="O89" s="19"/>
      <c r="P89" s="19"/>
      <c r="Q89" s="19"/>
      <c r="R89" s="19"/>
      <c r="S89" s="61"/>
    </row>
    <row r="90" spans="1:19" s="6" customFormat="1" ht="28.2" customHeight="1" x14ac:dyDescent="0.3">
      <c r="A90" s="243"/>
      <c r="B90" s="118">
        <v>0</v>
      </c>
      <c r="C90" s="356">
        <v>5.0000000000000001E-3</v>
      </c>
      <c r="D90" s="316" t="s">
        <v>264</v>
      </c>
      <c r="E90" s="106">
        <v>5</v>
      </c>
      <c r="F90" s="322">
        <v>5.0000000000000001E-3</v>
      </c>
      <c r="G90" s="106">
        <v>0</v>
      </c>
      <c r="H90" s="106">
        <v>0</v>
      </c>
      <c r="I90" s="10" t="str">
        <f t="shared" ref="I90:I91" si="40">D90</f>
        <v>Прістрій для обігріву новонароджених/ Baby Heater, n/a</v>
      </c>
      <c r="J90" s="219">
        <f t="shared" si="39"/>
        <v>5.0000000000000001E-3</v>
      </c>
      <c r="K90" s="55">
        <v>0</v>
      </c>
      <c r="L90" s="61"/>
      <c r="M90" s="61"/>
      <c r="N90" s="19"/>
      <c r="O90" s="19"/>
      <c r="P90" s="19"/>
      <c r="Q90" s="19"/>
      <c r="R90" s="19"/>
      <c r="S90" s="61"/>
    </row>
    <row r="91" spans="1:19" s="6" customFormat="1" ht="28.8" customHeight="1" x14ac:dyDescent="0.3">
      <c r="A91" s="243"/>
      <c r="B91" s="118">
        <v>0</v>
      </c>
      <c r="C91" s="356">
        <v>0.01</v>
      </c>
      <c r="D91" s="201" t="s">
        <v>265</v>
      </c>
      <c r="E91" s="106">
        <v>10</v>
      </c>
      <c r="F91" s="322">
        <v>0.01</v>
      </c>
      <c r="G91" s="106">
        <v>0</v>
      </c>
      <c r="H91" s="106">
        <v>0</v>
      </c>
      <c r="I91" s="10" t="str">
        <f t="shared" si="40"/>
        <v>Ліжка лікарняні/Hospital beds and mattresses for newdoms, n/a</v>
      </c>
      <c r="J91" s="208">
        <f t="shared" si="39"/>
        <v>0.01</v>
      </c>
      <c r="K91" s="58">
        <f t="shared" ref="K91" si="41">F91-J91</f>
        <v>0</v>
      </c>
      <c r="L91" s="61"/>
      <c r="M91" s="61"/>
      <c r="N91" s="19"/>
      <c r="O91" s="19"/>
      <c r="P91" s="19"/>
      <c r="Q91" s="19"/>
      <c r="R91" s="19"/>
      <c r="S91" s="61"/>
    </row>
    <row r="92" spans="1:19" ht="25.5" customHeight="1" x14ac:dyDescent="0.25">
      <c r="A92" s="243"/>
      <c r="B92" s="240" t="s">
        <v>76</v>
      </c>
      <c r="C92" s="241"/>
      <c r="D92" s="241"/>
      <c r="E92" s="241"/>
      <c r="F92" s="332">
        <f>F93</f>
        <v>1076.4605999999999</v>
      </c>
      <c r="G92" s="241" t="s">
        <v>76</v>
      </c>
      <c r="H92" s="241"/>
      <c r="I92" s="241"/>
      <c r="J92" s="97">
        <f>J93</f>
        <v>138.66485</v>
      </c>
      <c r="K92" s="92">
        <f>K93</f>
        <v>937.79575</v>
      </c>
    </row>
    <row r="93" spans="1:19" s="19" customFormat="1" ht="19.8" customHeight="1" x14ac:dyDescent="0.25">
      <c r="A93" s="243"/>
      <c r="B93" s="317" t="s">
        <v>77</v>
      </c>
      <c r="C93" s="318"/>
      <c r="D93" s="318"/>
      <c r="E93" s="318"/>
      <c r="F93" s="325">
        <f>F94+F95+F96+F97+F98+F99+F100+F101+F102+F103+F104+F105+F106+F107+F108+F109+F110+F111</f>
        <v>1076.4605999999999</v>
      </c>
      <c r="G93" s="318" t="s">
        <v>77</v>
      </c>
      <c r="H93" s="318"/>
      <c r="I93" s="318"/>
      <c r="J93" s="202">
        <f>J94+J95+J96+J97+J98+J99+J100+J101+J102+J103+J104+J105+J106+J107+J108+J109+J110+J111</f>
        <v>138.66485</v>
      </c>
      <c r="K93" s="55">
        <f>SUM(K94:K111)</f>
        <v>937.79575</v>
      </c>
    </row>
    <row r="94" spans="1:19" s="19" customFormat="1" ht="34.5" customHeight="1" x14ac:dyDescent="0.25">
      <c r="A94" s="243"/>
      <c r="B94" s="118">
        <v>0</v>
      </c>
      <c r="C94" s="322">
        <f>F92:F94</f>
        <v>2.3130000000000002</v>
      </c>
      <c r="D94" s="31" t="s">
        <v>267</v>
      </c>
      <c r="E94" s="50">
        <v>80</v>
      </c>
      <c r="F94" s="322">
        <v>2.3130000000000002</v>
      </c>
      <c r="G94" s="106">
        <v>0</v>
      </c>
      <c r="H94" s="106">
        <v>0</v>
      </c>
      <c r="I94" s="10" t="str">
        <f t="shared" ref="I94:I111" si="42">D94</f>
        <v>Комбінації електролітів / Deitajonin 500ml №10 Exp.date 03.2026  500ml</v>
      </c>
      <c r="J94" s="67">
        <f t="shared" ref="J94:J111" si="43">F94-K94</f>
        <v>0</v>
      </c>
      <c r="K94" s="55">
        <f>F94</f>
        <v>2.3130000000000002</v>
      </c>
    </row>
    <row r="95" spans="1:19" s="19" customFormat="1" ht="64.8" customHeight="1" x14ac:dyDescent="0.25">
      <c r="A95" s="243"/>
      <c r="B95" s="118">
        <v>0</v>
      </c>
      <c r="C95" s="322">
        <f t="shared" ref="C95:C111" si="44">F94:F95</f>
        <v>3.4020000000000001</v>
      </c>
      <c r="D95" s="31" t="s">
        <v>268</v>
      </c>
      <c r="E95" s="50">
        <v>500</v>
      </c>
      <c r="F95" s="322">
        <v>3.4020000000000001</v>
      </c>
      <c r="G95" s="106">
        <v>0</v>
      </c>
      <c r="H95" s="106">
        <v>0</v>
      </c>
      <c r="I95" s="10" t="str">
        <f t="shared" si="42"/>
        <v xml:space="preserve">Рукавички оглядові нестерильні, різних розмірів/Gloves, dishjisable, non-sterile, powder-free, розмір М №100 в упаковці Exp.date 31.12.2025 n/a </v>
      </c>
      <c r="J95" s="67">
        <f t="shared" si="43"/>
        <v>0</v>
      </c>
      <c r="K95" s="55">
        <f>F95</f>
        <v>3.4020000000000001</v>
      </c>
    </row>
    <row r="96" spans="1:19" s="19" customFormat="1" ht="63" customHeight="1" x14ac:dyDescent="0.25">
      <c r="A96" s="243"/>
      <c r="B96" s="118">
        <v>0</v>
      </c>
      <c r="C96" s="322">
        <f t="shared" si="44"/>
        <v>5.4429999999999996</v>
      </c>
      <c r="D96" s="31" t="s">
        <v>269</v>
      </c>
      <c r="E96" s="50">
        <v>800</v>
      </c>
      <c r="F96" s="333">
        <v>5.4429999999999996</v>
      </c>
      <c r="G96" s="106">
        <v>0</v>
      </c>
      <c r="H96" s="106">
        <v>0</v>
      </c>
      <c r="I96" s="10" t="str">
        <f t="shared" si="42"/>
        <v xml:space="preserve">Рукавички оглядові нестерильні, різних розмірів/Gloves, dishjisable, non-sterile, powder-free, розмір L №200 в упаковці Exp.date 31.03.2024 n/a </v>
      </c>
      <c r="J96" s="67">
        <f t="shared" si="43"/>
        <v>0</v>
      </c>
      <c r="K96" s="55">
        <f>F96</f>
        <v>5.4429999999999996</v>
      </c>
    </row>
    <row r="97" spans="1:11" s="19" customFormat="1" ht="50.4" customHeight="1" x14ac:dyDescent="0.25">
      <c r="A97" s="243"/>
      <c r="B97" s="118">
        <v>0</v>
      </c>
      <c r="C97" s="322">
        <f t="shared" si="44"/>
        <v>3.6059999999999999</v>
      </c>
      <c r="D97" s="31" t="s">
        <v>270</v>
      </c>
      <c r="E97" s="50">
        <v>1000</v>
      </c>
      <c r="F97" s="333">
        <v>3.6059999999999999</v>
      </c>
      <c r="G97" s="106">
        <v>0</v>
      </c>
      <c r="H97" s="106">
        <v>0</v>
      </c>
      <c r="I97" s="10" t="str">
        <f t="shared" si="42"/>
        <v xml:space="preserve">Натрій хлорід Sobium Ghloride IBE 9mg/ml solvent for parenteral use 5ml №10 в упаковці .Exp.date 31.03.2025 9mg/ml </v>
      </c>
      <c r="J97" s="67">
        <f>F97-K97</f>
        <v>0.16578999999999988</v>
      </c>
      <c r="K97" s="68">
        <v>3.44021</v>
      </c>
    </row>
    <row r="98" spans="1:11" s="19" customFormat="1" ht="48.6" customHeight="1" x14ac:dyDescent="0.25">
      <c r="A98" s="243"/>
      <c r="B98" s="118">
        <v>0</v>
      </c>
      <c r="C98" s="322">
        <f t="shared" si="44"/>
        <v>1.927</v>
      </c>
      <c r="D98" s="31" t="s">
        <v>271</v>
      </c>
      <c r="E98" s="50">
        <v>100</v>
      </c>
      <c r="F98" s="333">
        <v>1.927</v>
      </c>
      <c r="G98" s="106">
        <v>0</v>
      </c>
      <c r="H98" s="106">
        <v>0</v>
      </c>
      <c r="I98" s="10" t="str">
        <f t="shared" si="42"/>
        <v xml:space="preserve">Глюкоза/Glucose B/Braun (monohydrate) 50mg/ml (5%) infusion solution 500ml №10 в упаковці.Exp.date 30.09.2024 5% </v>
      </c>
      <c r="J98" s="67">
        <f t="shared" si="43"/>
        <v>0.30811000000000011</v>
      </c>
      <c r="K98" s="68">
        <v>1.6188899999999999</v>
      </c>
    </row>
    <row r="99" spans="1:11" s="19" customFormat="1" ht="31.8" customHeight="1" x14ac:dyDescent="0.25">
      <c r="A99" s="243"/>
      <c r="B99" s="118">
        <v>0</v>
      </c>
      <c r="C99" s="322">
        <f t="shared" si="44"/>
        <v>0.14000000000000001</v>
      </c>
      <c r="D99" s="31" t="s">
        <v>311</v>
      </c>
      <c r="E99" s="50">
        <v>140</v>
      </c>
      <c r="F99" s="333">
        <v>0.14000000000000001</v>
      </c>
      <c r="G99" s="106">
        <v>0</v>
      </c>
      <c r="H99" s="106">
        <v>0</v>
      </c>
      <c r="I99" s="10" t="str">
        <f t="shared" si="42"/>
        <v>Воріконазол/Voriconazolo Mylan 200mg №28 в упаковці Exp.date 01.2024 200mg</v>
      </c>
      <c r="J99" s="67">
        <f t="shared" si="43"/>
        <v>9.000000000000008E-3</v>
      </c>
      <c r="K99" s="68">
        <v>0.13100000000000001</v>
      </c>
    </row>
    <row r="100" spans="1:11" s="19" customFormat="1" ht="60.6" customHeight="1" x14ac:dyDescent="0.25">
      <c r="A100" s="243"/>
      <c r="B100" s="118">
        <v>0</v>
      </c>
      <c r="C100" s="354">
        <f t="shared" ref="C100" si="45">F99:F100</f>
        <v>40</v>
      </c>
      <c r="D100" s="31" t="s">
        <v>314</v>
      </c>
      <c r="E100" s="50">
        <v>40000</v>
      </c>
      <c r="F100" s="333">
        <v>40</v>
      </c>
      <c r="G100" s="106">
        <v>0</v>
      </c>
      <c r="H100" s="106">
        <v>0</v>
      </c>
      <c r="I100" s="10" t="str">
        <f>D100</f>
        <v xml:space="preserve">Витратні матеріали/ Тампони для очищення шкіри Skin Cleansing Cwad 30x30mm №4000в коробці. Exp.date 08.2025 n/a </v>
      </c>
      <c r="J100" s="67">
        <f t="shared" ref="J100" si="46">F100-K100</f>
        <v>0</v>
      </c>
      <c r="K100" s="68">
        <f>F100</f>
        <v>40</v>
      </c>
    </row>
    <row r="101" spans="1:11" s="19" customFormat="1" ht="33" customHeight="1" x14ac:dyDescent="0.25">
      <c r="A101" s="243"/>
      <c r="B101" s="118">
        <v>0</v>
      </c>
      <c r="C101" s="322">
        <f>F99:F101</f>
        <v>0.5</v>
      </c>
      <c r="D101" s="31" t="s">
        <v>273</v>
      </c>
      <c r="E101" s="50">
        <v>500</v>
      </c>
      <c r="F101" s="333">
        <v>0.5</v>
      </c>
      <c r="G101" s="106">
        <v>0</v>
      </c>
      <c r="H101" s="106">
        <v>0</v>
      </c>
      <c r="I101" s="10" t="str">
        <f t="shared" si="42"/>
        <v>Медичні маски/Procedure Mask №500 в коробці. Exp.date 07.2025 5%  n/a</v>
      </c>
      <c r="J101" s="67">
        <f t="shared" si="43"/>
        <v>0</v>
      </c>
      <c r="K101" s="68">
        <f>F101</f>
        <v>0.5</v>
      </c>
    </row>
    <row r="102" spans="1:11" s="19" customFormat="1" ht="33" customHeight="1" x14ac:dyDescent="0.25">
      <c r="A102" s="243"/>
      <c r="B102" s="118">
        <v>0</v>
      </c>
      <c r="C102" s="322">
        <f t="shared" si="44"/>
        <v>4.4846000000000004</v>
      </c>
      <c r="D102" s="31" t="s">
        <v>279</v>
      </c>
      <c r="E102" s="50">
        <v>10</v>
      </c>
      <c r="F102" s="333">
        <v>4.4846000000000004</v>
      </c>
      <c r="G102" s="106">
        <v>0</v>
      </c>
      <c r="H102" s="106">
        <v>0</v>
      </c>
      <c r="I102" s="10" t="str">
        <f t="shared" si="42"/>
        <v>Термометр медичний інфракрасний лобний, шт</v>
      </c>
      <c r="J102" s="67">
        <f t="shared" si="43"/>
        <v>0</v>
      </c>
      <c r="K102" s="68">
        <f>F102</f>
        <v>4.4846000000000004</v>
      </c>
    </row>
    <row r="103" spans="1:11" s="19" customFormat="1" ht="18.600000000000001" customHeight="1" x14ac:dyDescent="0.25">
      <c r="A103" s="243"/>
      <c r="B103" s="118">
        <v>0</v>
      </c>
      <c r="C103" s="354">
        <f t="shared" si="44"/>
        <v>0.15</v>
      </c>
      <c r="D103" s="31" t="s">
        <v>280</v>
      </c>
      <c r="E103" s="50">
        <v>150</v>
      </c>
      <c r="F103" s="322">
        <v>0.15</v>
      </c>
      <c r="G103" s="106">
        <v>0</v>
      </c>
      <c r="H103" s="106">
        <v>0</v>
      </c>
      <c r="I103" s="10" t="str">
        <f t="shared" si="42"/>
        <v>Антисептик DES 62 флакон</v>
      </c>
      <c r="J103" s="67">
        <f t="shared" si="43"/>
        <v>2.9149999999999995E-2</v>
      </c>
      <c r="K103" s="69">
        <v>0.12085</v>
      </c>
    </row>
    <row r="104" spans="1:11" s="19" customFormat="1" ht="19.2" customHeight="1" x14ac:dyDescent="0.25">
      <c r="A104" s="243"/>
      <c r="B104" s="118">
        <v>0</v>
      </c>
      <c r="C104" s="354">
        <f t="shared" si="44"/>
        <v>29</v>
      </c>
      <c r="D104" s="31" t="s">
        <v>281</v>
      </c>
      <c r="E104" s="50">
        <v>29000</v>
      </c>
      <c r="F104" s="322">
        <v>29</v>
      </c>
      <c r="G104" s="106">
        <v>0</v>
      </c>
      <c r="H104" s="106">
        <v>0</v>
      </c>
      <c r="I104" s="10" t="str">
        <f t="shared" si="42"/>
        <v>Рукавиці оглядові нестерильні, шт</v>
      </c>
      <c r="J104" s="67">
        <f t="shared" si="43"/>
        <v>0</v>
      </c>
      <c r="K104" s="69">
        <f>F104</f>
        <v>29</v>
      </c>
    </row>
    <row r="105" spans="1:11" s="19" customFormat="1" ht="19.8" customHeight="1" x14ac:dyDescent="0.25">
      <c r="A105" s="243"/>
      <c r="B105" s="118">
        <v>0</v>
      </c>
      <c r="C105" s="354">
        <f t="shared" si="44"/>
        <v>20</v>
      </c>
      <c r="D105" s="31" t="s">
        <v>282</v>
      </c>
      <c r="E105" s="50">
        <v>20000</v>
      </c>
      <c r="F105" s="322">
        <v>20</v>
      </c>
      <c r="G105" s="106">
        <v>0</v>
      </c>
      <c r="H105" s="106">
        <v>0</v>
      </c>
      <c r="I105" s="10" t="str">
        <f t="shared" si="42"/>
        <v>Рукавиці оглядові нестерильні, шт.</v>
      </c>
      <c r="J105" s="67">
        <f t="shared" si="43"/>
        <v>0</v>
      </c>
      <c r="K105" s="69">
        <f t="shared" ref="K105:K107" si="47">F105</f>
        <v>20</v>
      </c>
    </row>
    <row r="106" spans="1:11" s="19" customFormat="1" ht="19.8" customHeight="1" x14ac:dyDescent="0.25">
      <c r="A106" s="243"/>
      <c r="B106" s="118">
        <v>0</v>
      </c>
      <c r="C106" s="354">
        <f t="shared" si="44"/>
        <v>20</v>
      </c>
      <c r="D106" s="31" t="s">
        <v>281</v>
      </c>
      <c r="E106" s="50">
        <v>20000</v>
      </c>
      <c r="F106" s="322">
        <v>20</v>
      </c>
      <c r="G106" s="106">
        <v>0</v>
      </c>
      <c r="H106" s="106">
        <v>0</v>
      </c>
      <c r="I106" s="10" t="str">
        <f t="shared" si="42"/>
        <v>Рукавиці оглядові нестерильні, шт</v>
      </c>
      <c r="J106" s="67">
        <f t="shared" si="43"/>
        <v>0</v>
      </c>
      <c r="K106" s="69">
        <f t="shared" si="47"/>
        <v>20</v>
      </c>
    </row>
    <row r="107" spans="1:11" s="19" customFormat="1" ht="19.8" customHeight="1" x14ac:dyDescent="0.25">
      <c r="A107" s="243"/>
      <c r="B107" s="118">
        <v>0</v>
      </c>
      <c r="C107" s="354">
        <f t="shared" si="44"/>
        <v>40</v>
      </c>
      <c r="D107" s="31" t="s">
        <v>282</v>
      </c>
      <c r="E107" s="50">
        <v>40000</v>
      </c>
      <c r="F107" s="322">
        <v>40</v>
      </c>
      <c r="G107" s="106">
        <v>0</v>
      </c>
      <c r="H107" s="106">
        <v>0</v>
      </c>
      <c r="I107" s="10" t="str">
        <f t="shared" si="42"/>
        <v>Рукавиці оглядові нестерильні, шт.</v>
      </c>
      <c r="J107" s="67">
        <f t="shared" si="43"/>
        <v>0</v>
      </c>
      <c r="K107" s="69">
        <f t="shared" si="47"/>
        <v>40</v>
      </c>
    </row>
    <row r="108" spans="1:11" s="19" customFormat="1" ht="19.8" customHeight="1" x14ac:dyDescent="0.25">
      <c r="A108" s="243"/>
      <c r="B108" s="118">
        <v>0</v>
      </c>
      <c r="C108" s="354">
        <f t="shared" si="44"/>
        <v>0.01</v>
      </c>
      <c r="D108" s="31" t="s">
        <v>283</v>
      </c>
      <c r="E108" s="50">
        <v>10</v>
      </c>
      <c r="F108" s="322">
        <v>0.01</v>
      </c>
      <c r="G108" s="106">
        <v>0</v>
      </c>
      <c r="H108" s="106">
        <v>0</v>
      </c>
      <c r="I108" s="10" t="str">
        <f t="shared" si="42"/>
        <v>Оксаліплатин 100мг 20мл флак.</v>
      </c>
      <c r="J108" s="67">
        <f t="shared" si="43"/>
        <v>0</v>
      </c>
      <c r="K108" s="294">
        <f>F108</f>
        <v>0.01</v>
      </c>
    </row>
    <row r="109" spans="1:11" s="19" customFormat="1" ht="19.8" customHeight="1" x14ac:dyDescent="0.25">
      <c r="A109" s="243"/>
      <c r="B109" s="118">
        <v>0</v>
      </c>
      <c r="C109" s="354">
        <f t="shared" si="44"/>
        <v>634.14400000000001</v>
      </c>
      <c r="D109" s="31" t="s">
        <v>284</v>
      </c>
      <c r="E109" s="50">
        <v>280</v>
      </c>
      <c r="F109" s="322">
        <v>634.14400000000001</v>
      </c>
      <c r="G109" s="106">
        <v>0</v>
      </c>
      <c r="H109" s="106">
        <v>0</v>
      </c>
      <c r="I109" s="10" t="str">
        <f t="shared" si="42"/>
        <v>Флукодифлюкан 200мг таб</v>
      </c>
      <c r="J109" s="67">
        <f t="shared" si="43"/>
        <v>138.15280000000001</v>
      </c>
      <c r="K109" s="72">
        <v>495.99119999999999</v>
      </c>
    </row>
    <row r="110" spans="1:11" s="19" customFormat="1" ht="19.8" customHeight="1" x14ac:dyDescent="0.25">
      <c r="A110" s="243"/>
      <c r="B110" s="118">
        <v>0</v>
      </c>
      <c r="C110" s="354">
        <f t="shared" si="44"/>
        <v>271.33999999999997</v>
      </c>
      <c r="D110" s="31" t="s">
        <v>285</v>
      </c>
      <c r="E110" s="50">
        <v>500</v>
      </c>
      <c r="F110" s="322">
        <v>271.33999999999997</v>
      </c>
      <c r="G110" s="106">
        <v>0</v>
      </c>
      <c r="H110" s="106">
        <v>0</v>
      </c>
      <c r="I110" s="10" t="str">
        <f t="shared" si="42"/>
        <v>Моксифлоксацин400мг/250мл флак.</v>
      </c>
      <c r="J110" s="67">
        <f t="shared" si="43"/>
        <v>0</v>
      </c>
      <c r="K110" s="72">
        <f>F110</f>
        <v>271.33999999999997</v>
      </c>
    </row>
    <row r="111" spans="1:11" s="19" customFormat="1" ht="19.8" customHeight="1" thickBot="1" x14ac:dyDescent="0.3">
      <c r="A111" s="243"/>
      <c r="B111" s="118">
        <v>0</v>
      </c>
      <c r="C111" s="322">
        <f t="shared" si="44"/>
        <v>1E-3</v>
      </c>
      <c r="D111" s="31" t="s">
        <v>303</v>
      </c>
      <c r="E111" s="50">
        <v>1</v>
      </c>
      <c r="F111" s="322">
        <v>1E-3</v>
      </c>
      <c r="G111" s="106">
        <v>0</v>
      </c>
      <c r="H111" s="106">
        <v>0</v>
      </c>
      <c r="I111" s="10" t="str">
        <f t="shared" si="42"/>
        <v>Зовнішний електрод до дефібрилятора, шт</v>
      </c>
      <c r="J111" s="67">
        <f t="shared" si="43"/>
        <v>0</v>
      </c>
      <c r="K111" s="294">
        <f>F111</f>
        <v>1E-3</v>
      </c>
    </row>
    <row r="112" spans="1:11" s="19" customFormat="1" ht="25.2" customHeight="1" x14ac:dyDescent="0.25">
      <c r="A112" s="233" t="s">
        <v>301</v>
      </c>
      <c r="B112" s="235" t="s">
        <v>122</v>
      </c>
      <c r="C112" s="236"/>
      <c r="D112" s="236"/>
      <c r="E112" s="44"/>
      <c r="F112" s="319">
        <f>F113+F114+F115</f>
        <v>0.17699999999999999</v>
      </c>
      <c r="G112" s="237" t="s">
        <v>122</v>
      </c>
      <c r="H112" s="238"/>
      <c r="I112" s="239"/>
      <c r="J112" s="190">
        <f>J113+J114+J115</f>
        <v>0.17699999999999999</v>
      </c>
      <c r="K112" s="138">
        <v>0</v>
      </c>
    </row>
    <row r="113" spans="1:19" ht="54.75" customHeight="1" x14ac:dyDescent="0.25">
      <c r="A113" s="234"/>
      <c r="B113" s="121">
        <v>1</v>
      </c>
      <c r="C113" s="353">
        <f>F112:F113</f>
        <v>5.8999999999999997E-2</v>
      </c>
      <c r="D113" s="31" t="s">
        <v>275</v>
      </c>
      <c r="E113" s="47">
        <v>2</v>
      </c>
      <c r="F113" s="322">
        <v>5.8999999999999997E-2</v>
      </c>
      <c r="G113" s="116">
        <v>0</v>
      </c>
      <c r="H113" s="106">
        <v>0</v>
      </c>
      <c r="I113" s="10" t="str">
        <f t="shared" ref="I113:I115" si="48">D113</f>
        <v>Багаторазова манжета для визначення артеріальноготиску для дорослих Hillrom FlexiPort 11L шт</v>
      </c>
      <c r="J113" s="208">
        <f t="shared" ref="J113:J115" si="49">F113</f>
        <v>5.8999999999999997E-2</v>
      </c>
      <c r="K113" s="140">
        <v>0</v>
      </c>
    </row>
    <row r="114" spans="1:19" ht="48" customHeight="1" x14ac:dyDescent="0.25">
      <c r="A114" s="234"/>
      <c r="B114" s="118">
        <v>1</v>
      </c>
      <c r="C114" s="354">
        <f>F112:F114</f>
        <v>5.8999999999999997E-2</v>
      </c>
      <c r="D114" s="31" t="s">
        <v>276</v>
      </c>
      <c r="E114" s="49">
        <v>2</v>
      </c>
      <c r="F114" s="322">
        <v>5.8999999999999997E-2</v>
      </c>
      <c r="G114" s="106">
        <v>0</v>
      </c>
      <c r="H114" s="106">
        <v>0</v>
      </c>
      <c r="I114" s="10" t="str">
        <f t="shared" si="48"/>
        <v>Багаторазова манжета Zool, м'яка для немовлят , 2 трубки 9-13см, з'єднувач із замком, коробка 20шт</v>
      </c>
      <c r="J114" s="208">
        <f t="shared" si="49"/>
        <v>5.8999999999999997E-2</v>
      </c>
      <c r="K114" s="140">
        <v>0</v>
      </c>
    </row>
    <row r="115" spans="1:19" ht="30.6" customHeight="1" x14ac:dyDescent="0.25">
      <c r="A115" s="234"/>
      <c r="B115" s="118">
        <v>1</v>
      </c>
      <c r="C115" s="354">
        <f>F112:F115</f>
        <v>5.8999999999999997E-2</v>
      </c>
      <c r="D115" s="48" t="s">
        <v>277</v>
      </c>
      <c r="E115" s="50">
        <v>2</v>
      </c>
      <c r="F115" s="322">
        <v>5.8999999999999997E-2</v>
      </c>
      <c r="G115" s="106">
        <v>0</v>
      </c>
      <c r="H115" s="106">
        <v>0</v>
      </c>
      <c r="I115" s="10" t="str">
        <f t="shared" si="48"/>
        <v>Сумка для перене сення дефібрілятора  Zool шт</v>
      </c>
      <c r="J115" s="208">
        <f t="shared" si="49"/>
        <v>5.8999999999999997E-2</v>
      </c>
      <c r="K115" s="140"/>
    </row>
    <row r="116" spans="1:19" ht="18" customHeight="1" x14ac:dyDescent="0.25">
      <c r="A116" s="234"/>
      <c r="B116" s="240" t="s">
        <v>76</v>
      </c>
      <c r="C116" s="241"/>
      <c r="D116" s="241"/>
      <c r="E116" s="241"/>
      <c r="F116" s="332">
        <f>F117+F140</f>
        <v>1.68</v>
      </c>
      <c r="G116" s="241" t="s">
        <v>76</v>
      </c>
      <c r="H116" s="241"/>
      <c r="I116" s="241"/>
      <c r="J116" s="214">
        <f>J117+J140</f>
        <v>1.302</v>
      </c>
      <c r="K116" s="92">
        <f>K117+K140</f>
        <v>0.378</v>
      </c>
    </row>
    <row r="117" spans="1:19" ht="29.4" customHeight="1" thickBot="1" x14ac:dyDescent="0.3">
      <c r="A117" s="234"/>
      <c r="B117" s="119">
        <v>1</v>
      </c>
      <c r="C117" s="352">
        <f t="shared" ref="C117" si="50">F116:F117</f>
        <v>1.68</v>
      </c>
      <c r="D117" s="14" t="s">
        <v>302</v>
      </c>
      <c r="E117" s="334">
        <v>4</v>
      </c>
      <c r="F117" s="217">
        <v>1.68</v>
      </c>
      <c r="G117" s="107">
        <v>0</v>
      </c>
      <c r="H117" s="107">
        <v>0</v>
      </c>
      <c r="I117" s="14" t="str">
        <f t="shared" ref="I117" si="51">D117</f>
        <v>Натрію хлорід 0,9% для внутрішньовенних інфузій 1000мл у флак. №10, упак.</v>
      </c>
      <c r="J117" s="67">
        <f t="shared" ref="J117" si="52">F117-K117</f>
        <v>1.302</v>
      </c>
      <c r="K117" s="142">
        <v>0.378</v>
      </c>
    </row>
    <row r="118" spans="1:19" ht="48" customHeight="1" x14ac:dyDescent="0.25">
      <c r="A118" s="234"/>
      <c r="B118" s="235" t="s">
        <v>117</v>
      </c>
      <c r="C118" s="236"/>
      <c r="D118" s="236"/>
      <c r="E118" s="236"/>
      <c r="F118" s="319">
        <f>F119</f>
        <v>1291.087</v>
      </c>
      <c r="G118" s="222" t="s">
        <v>117</v>
      </c>
      <c r="H118" s="223"/>
      <c r="I118" s="224"/>
      <c r="J118" s="215">
        <f>J119</f>
        <v>1291.087</v>
      </c>
      <c r="K118" s="138">
        <v>0</v>
      </c>
    </row>
    <row r="119" spans="1:19" ht="38.25" customHeight="1" thickBot="1" x14ac:dyDescent="0.3">
      <c r="A119" s="234"/>
      <c r="B119" s="119">
        <v>1</v>
      </c>
      <c r="C119" s="352">
        <f t="shared" ref="C119" si="53">F118:F119</f>
        <v>1291.087</v>
      </c>
      <c r="D119" s="14" t="s">
        <v>278</v>
      </c>
      <c r="E119" s="334">
        <v>2</v>
      </c>
      <c r="F119" s="217">
        <v>1291.087</v>
      </c>
      <c r="G119" s="107">
        <v>0</v>
      </c>
      <c r="H119" s="107">
        <v>0</v>
      </c>
      <c r="I119" s="14" t="str">
        <f t="shared" ref="I119" si="54">D119</f>
        <v>Дефібрілятор Zool шт</v>
      </c>
      <c r="J119" s="216">
        <f t="shared" ref="J119" si="55">F119</f>
        <v>1291.087</v>
      </c>
      <c r="K119" s="142">
        <v>0</v>
      </c>
    </row>
    <row r="120" spans="1:19" ht="36.6" customHeight="1" thickBot="1" x14ac:dyDescent="0.3">
      <c r="A120" s="225" t="s">
        <v>313</v>
      </c>
      <c r="B120" s="226"/>
      <c r="C120" s="226"/>
      <c r="D120" s="226"/>
      <c r="E120" s="227"/>
      <c r="F120" s="320">
        <f>F5+F24+F71+F83+F86+F88+F92+F112+F116+F118</f>
        <v>2869.22921</v>
      </c>
      <c r="G120" s="228" t="s">
        <v>313</v>
      </c>
      <c r="H120" s="229"/>
      <c r="I120" s="230"/>
      <c r="J120" s="207">
        <f t="shared" ref="J120:K120" si="56">J5+J24+J71+J83+J86+J88+J92+J112+J116+J118</f>
        <v>1714.2418500000001</v>
      </c>
      <c r="K120" s="351">
        <f>K5+K24+K71+K83+K86+K88+K92+K112+K116+K118</f>
        <v>1154.9873599999999</v>
      </c>
    </row>
    <row r="122" spans="1:19" s="123" customFormat="1" ht="18" x14ac:dyDescent="0.35">
      <c r="B122" s="124"/>
      <c r="C122" s="52"/>
      <c r="D122" s="125" t="s">
        <v>203</v>
      </c>
      <c r="E122" s="126"/>
      <c r="F122" s="52"/>
      <c r="G122" s="124"/>
      <c r="H122" s="124"/>
      <c r="I122" s="127"/>
      <c r="J122" s="86"/>
      <c r="K122" s="122"/>
      <c r="L122" s="128"/>
      <c r="M122" s="128"/>
      <c r="N122" s="19"/>
      <c r="O122" s="19"/>
      <c r="P122" s="19"/>
      <c r="Q122" s="19"/>
      <c r="R122" s="19"/>
      <c r="S122" s="128"/>
    </row>
    <row r="123" spans="1:19" s="123" customFormat="1" ht="18" x14ac:dyDescent="0.35">
      <c r="B123" s="124"/>
      <c r="C123" s="52"/>
      <c r="D123" s="127"/>
      <c r="E123" s="126"/>
      <c r="F123" s="52"/>
      <c r="G123" s="124"/>
      <c r="H123" s="124"/>
      <c r="I123" s="127"/>
      <c r="J123" s="86"/>
      <c r="K123" s="122"/>
      <c r="L123" s="128"/>
      <c r="M123" s="128"/>
      <c r="N123" s="19"/>
      <c r="O123" s="19"/>
      <c r="P123" s="19"/>
      <c r="Q123" s="19"/>
      <c r="R123" s="19"/>
      <c r="S123" s="128"/>
    </row>
    <row r="124" spans="1:19" s="123" customFormat="1" ht="30" customHeight="1" x14ac:dyDescent="0.35">
      <c r="B124" s="124"/>
      <c r="C124" s="52"/>
      <c r="D124" s="129" t="s">
        <v>204</v>
      </c>
      <c r="E124" s="126" t="s">
        <v>205</v>
      </c>
      <c r="F124" s="52"/>
      <c r="G124" s="124" t="s">
        <v>206</v>
      </c>
      <c r="H124" s="124"/>
      <c r="I124" s="127"/>
      <c r="J124" s="86"/>
      <c r="K124" s="122"/>
      <c r="L124" s="128"/>
      <c r="M124" s="128"/>
      <c r="N124" s="19"/>
      <c r="O124" s="19"/>
      <c r="P124" s="19"/>
      <c r="Q124" s="19"/>
      <c r="R124" s="19"/>
      <c r="S124" s="128"/>
    </row>
    <row r="125" spans="1:19" s="123" customFormat="1" ht="18" x14ac:dyDescent="0.35">
      <c r="B125" s="124"/>
      <c r="C125" s="52"/>
      <c r="D125" s="127"/>
      <c r="E125" s="126"/>
      <c r="F125" s="52"/>
      <c r="G125" s="124"/>
      <c r="H125" s="124"/>
      <c r="I125" s="127"/>
      <c r="J125" s="86"/>
      <c r="K125" s="122"/>
      <c r="L125" s="128"/>
      <c r="M125" s="128"/>
      <c r="N125" s="19"/>
      <c r="O125" s="19"/>
      <c r="P125" s="19"/>
      <c r="Q125" s="19"/>
      <c r="R125" s="19"/>
      <c r="S125" s="128"/>
    </row>
    <row r="126" spans="1:19" s="123" customFormat="1" ht="18" x14ac:dyDescent="0.35">
      <c r="B126" s="124"/>
      <c r="C126" s="52"/>
      <c r="D126" s="125" t="s">
        <v>207</v>
      </c>
      <c r="E126" s="126"/>
      <c r="F126" s="52"/>
      <c r="G126" s="124"/>
      <c r="H126" s="124"/>
      <c r="I126" s="127"/>
      <c r="J126" s="86"/>
      <c r="K126" s="122"/>
      <c r="L126" s="128"/>
      <c r="M126" s="128"/>
      <c r="N126" s="19"/>
      <c r="O126" s="19"/>
      <c r="P126" s="19"/>
      <c r="Q126" s="19"/>
      <c r="R126" s="19"/>
      <c r="S126" s="128"/>
    </row>
    <row r="127" spans="1:19" s="123" customFormat="1" ht="43.5" customHeight="1" x14ac:dyDescent="0.35">
      <c r="B127" s="124"/>
      <c r="C127" s="52"/>
      <c r="D127" s="130" t="s">
        <v>208</v>
      </c>
      <c r="E127" s="126" t="s">
        <v>209</v>
      </c>
      <c r="F127" s="52"/>
      <c r="G127" s="124" t="s">
        <v>210</v>
      </c>
      <c r="H127" s="124"/>
      <c r="I127" s="127"/>
      <c r="J127" s="86"/>
      <c r="K127" s="122"/>
      <c r="L127" s="128"/>
      <c r="M127" s="128"/>
      <c r="N127" s="19"/>
      <c r="O127" s="19"/>
      <c r="P127" s="19"/>
      <c r="Q127" s="19"/>
      <c r="R127" s="19"/>
      <c r="S127" s="128"/>
    </row>
    <row r="128" spans="1:19" s="123" customFormat="1" ht="42.75" customHeight="1" x14ac:dyDescent="0.35">
      <c r="B128" s="124"/>
      <c r="C128" s="52"/>
      <c r="D128" s="130" t="s">
        <v>211</v>
      </c>
      <c r="E128" s="126" t="s">
        <v>209</v>
      </c>
      <c r="F128" s="52"/>
      <c r="G128" s="124" t="s">
        <v>212</v>
      </c>
      <c r="H128" s="124"/>
      <c r="I128" s="127"/>
      <c r="J128" s="86"/>
      <c r="K128" s="122"/>
      <c r="L128" s="128"/>
      <c r="M128" s="128"/>
      <c r="N128" s="19"/>
      <c r="O128" s="19"/>
      <c r="P128" s="19"/>
      <c r="Q128" s="19"/>
      <c r="R128" s="19"/>
      <c r="S128" s="128"/>
    </row>
    <row r="129" spans="2:19" s="123" customFormat="1" ht="55.5" customHeight="1" x14ac:dyDescent="0.35">
      <c r="B129" s="124"/>
      <c r="C129" s="52"/>
      <c r="D129" s="130" t="s">
        <v>213</v>
      </c>
      <c r="E129" s="126" t="s">
        <v>209</v>
      </c>
      <c r="F129" s="52"/>
      <c r="G129" s="124" t="s">
        <v>214</v>
      </c>
      <c r="H129" s="124"/>
      <c r="I129" s="127"/>
      <c r="J129" s="86"/>
      <c r="K129" s="122"/>
      <c r="L129" s="128"/>
      <c r="M129" s="128"/>
      <c r="N129" s="19"/>
      <c r="O129" s="19"/>
      <c r="P129" s="19"/>
      <c r="Q129" s="19"/>
      <c r="R129" s="19"/>
      <c r="S129" s="128"/>
    </row>
    <row r="130" spans="2:19" x14ac:dyDescent="0.25">
      <c r="D130" s="3"/>
    </row>
  </sheetData>
  <mergeCells count="59">
    <mergeCell ref="A4:K4"/>
    <mergeCell ref="G50:I50"/>
    <mergeCell ref="B53:E53"/>
    <mergeCell ref="G53:I53"/>
    <mergeCell ref="B44:E44"/>
    <mergeCell ref="G44:I44"/>
    <mergeCell ref="A1:K1"/>
    <mergeCell ref="A2:A3"/>
    <mergeCell ref="B2:C2"/>
    <mergeCell ref="D2:D3"/>
    <mergeCell ref="E2:E3"/>
    <mergeCell ref="F2:F3"/>
    <mergeCell ref="G2:J2"/>
    <mergeCell ref="K2:K3"/>
    <mergeCell ref="B66:E66"/>
    <mergeCell ref="G66:I66"/>
    <mergeCell ref="A5:A23"/>
    <mergeCell ref="B5:E5"/>
    <mergeCell ref="G5:I5"/>
    <mergeCell ref="A24:A43"/>
    <mergeCell ref="B24:E24"/>
    <mergeCell ref="G24:I24"/>
    <mergeCell ref="B25:E25"/>
    <mergeCell ref="G25:I25"/>
    <mergeCell ref="B31:E31"/>
    <mergeCell ref="G31:I31"/>
    <mergeCell ref="B39:E39"/>
    <mergeCell ref="G39:I39"/>
    <mergeCell ref="A44:A70"/>
    <mergeCell ref="B50:E50"/>
    <mergeCell ref="B56:E56"/>
    <mergeCell ref="G56:I56"/>
    <mergeCell ref="B59:E59"/>
    <mergeCell ref="G59:I59"/>
    <mergeCell ref="B63:E63"/>
    <mergeCell ref="G63:I63"/>
    <mergeCell ref="A88:A111"/>
    <mergeCell ref="B88:E88"/>
    <mergeCell ref="G88:I88"/>
    <mergeCell ref="B92:E92"/>
    <mergeCell ref="G92:I92"/>
    <mergeCell ref="B93:E93"/>
    <mergeCell ref="G93:I93"/>
    <mergeCell ref="A71:A87"/>
    <mergeCell ref="B71:D71"/>
    <mergeCell ref="G71:I71"/>
    <mergeCell ref="B83:E83"/>
    <mergeCell ref="G83:I83"/>
    <mergeCell ref="B86:E86"/>
    <mergeCell ref="G86:I86"/>
    <mergeCell ref="A120:E120"/>
    <mergeCell ref="G120:I120"/>
    <mergeCell ref="A112:A119"/>
    <mergeCell ref="B112:D112"/>
    <mergeCell ref="G112:I112"/>
    <mergeCell ref="B118:E118"/>
    <mergeCell ref="G118:I118"/>
    <mergeCell ref="B116:E116"/>
    <mergeCell ref="G116:I116"/>
  </mergeCells>
  <printOptions horizontalCentered="1" verticalCentered="1"/>
  <pageMargins left="0" right="0" top="0.19685039370078741" bottom="0.19685039370078741" header="0" footer="0"/>
  <pageSetup paperSize="9" scale="83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97"/>
  <sheetViews>
    <sheetView view="pageBreakPreview" topLeftCell="B184" zoomScale="110" zoomScaleNormal="80" zoomScaleSheetLayoutView="110" workbookViewId="0">
      <selection activeCell="F187" sqref="F187"/>
    </sheetView>
  </sheetViews>
  <sheetFormatPr defaultColWidth="9.33203125" defaultRowHeight="15.6" x14ac:dyDescent="0.25"/>
  <cols>
    <col min="1" max="1" width="9.77734375" style="51" customWidth="1"/>
    <col min="2" max="2" width="11.6640625" style="117" customWidth="1"/>
    <col min="3" max="3" width="12.33203125" style="52" customWidth="1"/>
    <col min="4" max="4" width="37.109375" style="2" customWidth="1"/>
    <col min="5" max="5" width="14.33203125" style="53" customWidth="1"/>
    <col min="6" max="6" width="12.33203125" style="52" customWidth="1"/>
    <col min="7" max="7" width="13" style="117" customWidth="1"/>
    <col min="8" max="8" width="9" style="117" customWidth="1"/>
    <col min="9" max="9" width="38.6640625" style="2" customWidth="1"/>
    <col min="10" max="10" width="11.77734375" style="86" customWidth="1"/>
    <col min="11" max="11" width="10.44140625" style="122" customWidth="1"/>
    <col min="12" max="12" width="9.33203125" style="19"/>
    <col min="13" max="13" width="17.44140625" style="19" bestFit="1" customWidth="1"/>
    <col min="14" max="14" width="18.44140625" style="19" customWidth="1"/>
    <col min="15" max="15" width="16" style="19" customWidth="1"/>
    <col min="16" max="19" width="9.33203125" style="19"/>
    <col min="20" max="16384" width="9.33203125" style="1"/>
  </cols>
  <sheetData>
    <row r="1" spans="1:19" ht="51.75" customHeight="1" thickBot="1" x14ac:dyDescent="0.3">
      <c r="A1" s="280" t="s">
        <v>219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9" s="4" customFormat="1" ht="60.75" customHeight="1" x14ac:dyDescent="0.25">
      <c r="A2" s="281" t="s">
        <v>0</v>
      </c>
      <c r="B2" s="283" t="s">
        <v>1</v>
      </c>
      <c r="C2" s="283"/>
      <c r="D2" s="283" t="s">
        <v>2</v>
      </c>
      <c r="E2" s="285" t="s">
        <v>3</v>
      </c>
      <c r="F2" s="287" t="s">
        <v>4</v>
      </c>
      <c r="G2" s="289" t="s">
        <v>5</v>
      </c>
      <c r="H2" s="290"/>
      <c r="I2" s="290"/>
      <c r="J2" s="291"/>
      <c r="K2" s="292" t="s">
        <v>6</v>
      </c>
      <c r="L2" s="60"/>
      <c r="M2" s="60"/>
      <c r="N2" s="60"/>
      <c r="O2" s="60"/>
      <c r="P2" s="60"/>
      <c r="Q2" s="60"/>
      <c r="R2" s="60"/>
      <c r="S2" s="60"/>
    </row>
    <row r="3" spans="1:19" s="4" customFormat="1" ht="69" customHeight="1" thickBot="1" x14ac:dyDescent="0.3">
      <c r="A3" s="282"/>
      <c r="B3" s="133" t="s">
        <v>7</v>
      </c>
      <c r="C3" s="158" t="s">
        <v>8</v>
      </c>
      <c r="D3" s="284"/>
      <c r="E3" s="286"/>
      <c r="F3" s="288"/>
      <c r="G3" s="132" t="s">
        <v>9</v>
      </c>
      <c r="H3" s="134" t="s">
        <v>10</v>
      </c>
      <c r="I3" s="135" t="s">
        <v>11</v>
      </c>
      <c r="J3" s="136" t="s">
        <v>12</v>
      </c>
      <c r="K3" s="293"/>
      <c r="L3" s="60"/>
      <c r="M3" s="60"/>
      <c r="N3" s="60"/>
      <c r="O3" s="60"/>
      <c r="P3" s="60"/>
      <c r="Q3" s="60"/>
      <c r="R3" s="60"/>
      <c r="S3" s="60"/>
    </row>
    <row r="4" spans="1:19" ht="27" customHeight="1" thickBot="1" x14ac:dyDescent="0.3">
      <c r="A4" s="265" t="s">
        <v>222</v>
      </c>
      <c r="B4" s="266"/>
      <c r="C4" s="266"/>
      <c r="D4" s="266"/>
      <c r="E4" s="266"/>
      <c r="F4" s="266"/>
      <c r="G4" s="266"/>
      <c r="H4" s="266"/>
      <c r="I4" s="266"/>
      <c r="J4" s="266"/>
      <c r="K4" s="267"/>
    </row>
    <row r="5" spans="1:19" s="6" customFormat="1" ht="24" customHeight="1" x14ac:dyDescent="0.3">
      <c r="A5" s="261" t="s">
        <v>14</v>
      </c>
      <c r="B5" s="268" t="s">
        <v>15</v>
      </c>
      <c r="C5" s="269"/>
      <c r="D5" s="269"/>
      <c r="E5" s="270"/>
      <c r="F5" s="5"/>
      <c r="G5" s="271" t="s">
        <v>15</v>
      </c>
      <c r="H5" s="269"/>
      <c r="I5" s="270"/>
      <c r="J5" s="78"/>
      <c r="K5" s="65"/>
      <c r="L5" s="61"/>
      <c r="M5" s="62">
        <f>F5+F24+F74+F77+F91+F94+F98+F102+F167+F170+F175+F180+F182</f>
        <v>810.29581400000018</v>
      </c>
      <c r="N5" s="19"/>
      <c r="O5" s="19"/>
      <c r="P5" s="19"/>
      <c r="Q5" s="19"/>
      <c r="R5" s="19"/>
      <c r="S5" s="61"/>
    </row>
    <row r="6" spans="1:19" ht="21" customHeight="1" x14ac:dyDescent="0.25">
      <c r="A6" s="254"/>
      <c r="B6" s="118">
        <v>0</v>
      </c>
      <c r="C6" s="161">
        <f>18999.86/1000</f>
        <v>18.999860000000002</v>
      </c>
      <c r="D6" s="160" t="s">
        <v>220</v>
      </c>
      <c r="E6" s="106">
        <v>1</v>
      </c>
      <c r="F6" s="7">
        <f>C6</f>
        <v>18.999860000000002</v>
      </c>
      <c r="G6" s="106">
        <v>0</v>
      </c>
      <c r="H6" s="106">
        <v>0</v>
      </c>
      <c r="I6" s="10" t="str">
        <f>D6</f>
        <v>Машина пральна "SAMSUNG"</v>
      </c>
      <c r="J6" s="79">
        <v>0</v>
      </c>
      <c r="K6" s="58">
        <f>F6-J6</f>
        <v>18.999860000000002</v>
      </c>
    </row>
    <row r="7" spans="1:19" ht="21" customHeight="1" x14ac:dyDescent="0.25">
      <c r="A7" s="254"/>
      <c r="B7" s="118">
        <v>0</v>
      </c>
      <c r="C7" s="161">
        <v>5.7</v>
      </c>
      <c r="D7" s="160" t="s">
        <v>221</v>
      </c>
      <c r="E7" s="106">
        <v>10</v>
      </c>
      <c r="F7" s="7">
        <f>C7</f>
        <v>5.7</v>
      </c>
      <c r="G7" s="106">
        <v>0</v>
      </c>
      <c r="H7" s="106">
        <v>0</v>
      </c>
      <c r="I7" s="10" t="str">
        <f t="shared" ref="I7:I23" si="0">D7</f>
        <v>Будівелльні матеріали</v>
      </c>
      <c r="J7" s="79">
        <f t="shared" ref="J7:J23" si="1">F7</f>
        <v>5.7</v>
      </c>
      <c r="K7" s="58">
        <f>F7-J7</f>
        <v>0</v>
      </c>
    </row>
    <row r="8" spans="1:19" ht="21" customHeight="1" x14ac:dyDescent="0.25">
      <c r="A8" s="254"/>
      <c r="B8" s="118">
        <v>0</v>
      </c>
      <c r="C8" s="7">
        <v>2.2999999999999998</v>
      </c>
      <c r="D8" s="160" t="s">
        <v>221</v>
      </c>
      <c r="E8" s="106">
        <v>10</v>
      </c>
      <c r="F8" s="7">
        <f t="shared" ref="F8:F23" si="2">C8</f>
        <v>2.2999999999999998</v>
      </c>
      <c r="G8" s="106">
        <v>0</v>
      </c>
      <c r="H8" s="106">
        <v>0</v>
      </c>
      <c r="I8" s="10" t="str">
        <f t="shared" si="0"/>
        <v>Будівелльні матеріали</v>
      </c>
      <c r="J8" s="79">
        <f t="shared" si="1"/>
        <v>2.2999999999999998</v>
      </c>
      <c r="K8" s="58">
        <f t="shared" ref="K8:K23" si="3">F8-J8</f>
        <v>0</v>
      </c>
    </row>
    <row r="9" spans="1:19" ht="21" customHeight="1" x14ac:dyDescent="0.25">
      <c r="A9" s="254"/>
      <c r="B9" s="118">
        <v>0</v>
      </c>
      <c r="C9" s="11">
        <v>10.199999999999999</v>
      </c>
      <c r="D9" s="160" t="s">
        <v>221</v>
      </c>
      <c r="E9" s="106">
        <v>10</v>
      </c>
      <c r="F9" s="7">
        <f>C9</f>
        <v>10.199999999999999</v>
      </c>
      <c r="G9" s="106">
        <v>0</v>
      </c>
      <c r="H9" s="106">
        <v>0</v>
      </c>
      <c r="I9" s="10" t="str">
        <f t="shared" si="0"/>
        <v>Будівелльні матеріали</v>
      </c>
      <c r="J9" s="79">
        <f t="shared" si="1"/>
        <v>10.199999999999999</v>
      </c>
      <c r="K9" s="58">
        <f t="shared" si="3"/>
        <v>0</v>
      </c>
    </row>
    <row r="10" spans="1:19" ht="21" customHeight="1" x14ac:dyDescent="0.25">
      <c r="A10" s="254"/>
      <c r="B10" s="118">
        <v>0</v>
      </c>
      <c r="C10" s="7">
        <v>2.02</v>
      </c>
      <c r="D10" s="160" t="s">
        <v>221</v>
      </c>
      <c r="E10" s="106">
        <v>5</v>
      </c>
      <c r="F10" s="7">
        <f t="shared" si="2"/>
        <v>2.02</v>
      </c>
      <c r="G10" s="106">
        <v>0</v>
      </c>
      <c r="H10" s="106">
        <v>0</v>
      </c>
      <c r="I10" s="10" t="str">
        <f t="shared" si="0"/>
        <v>Будівелльні матеріали</v>
      </c>
      <c r="J10" s="79">
        <f t="shared" si="1"/>
        <v>2.02</v>
      </c>
      <c r="K10" s="58">
        <f t="shared" si="3"/>
        <v>0</v>
      </c>
    </row>
    <row r="11" spans="1:19" ht="21" customHeight="1" x14ac:dyDescent="0.25">
      <c r="A11" s="254"/>
      <c r="B11" s="118">
        <v>0</v>
      </c>
      <c r="C11" s="7">
        <v>4.5999999999999996</v>
      </c>
      <c r="D11" s="160" t="s">
        <v>223</v>
      </c>
      <c r="E11" s="106">
        <v>1</v>
      </c>
      <c r="F11" s="7">
        <f t="shared" si="2"/>
        <v>4.5999999999999996</v>
      </c>
      <c r="G11" s="106">
        <v>0</v>
      </c>
      <c r="H11" s="106">
        <v>0</v>
      </c>
      <c r="I11" s="10" t="str">
        <f t="shared" si="0"/>
        <v>Дизельное паливо</v>
      </c>
      <c r="J11" s="79">
        <v>0</v>
      </c>
      <c r="K11" s="58">
        <f t="shared" si="3"/>
        <v>4.5999999999999996</v>
      </c>
    </row>
    <row r="12" spans="1:19" ht="21" customHeight="1" x14ac:dyDescent="0.25">
      <c r="A12" s="254"/>
      <c r="B12" s="118">
        <v>0</v>
      </c>
      <c r="C12" s="7">
        <v>8.6</v>
      </c>
      <c r="D12" s="160" t="s">
        <v>224</v>
      </c>
      <c r="E12" s="106">
        <v>20</v>
      </c>
      <c r="F12" s="7">
        <f t="shared" si="2"/>
        <v>8.6</v>
      </c>
      <c r="G12" s="106">
        <v>0</v>
      </c>
      <c r="H12" s="106">
        <v>0</v>
      </c>
      <c r="I12" s="10" t="str">
        <f t="shared" si="0"/>
        <v xml:space="preserve">Подушки, ковдра, простирадло, наволочки </v>
      </c>
      <c r="J12" s="79">
        <f t="shared" si="1"/>
        <v>8.6</v>
      </c>
      <c r="K12" s="58">
        <v>8.6</v>
      </c>
    </row>
    <row r="13" spans="1:19" ht="21" customHeight="1" x14ac:dyDescent="0.25">
      <c r="A13" s="254"/>
      <c r="B13" s="118">
        <v>0</v>
      </c>
      <c r="C13" s="7">
        <v>0.3</v>
      </c>
      <c r="D13" s="160" t="s">
        <v>221</v>
      </c>
      <c r="E13" s="106">
        <v>2</v>
      </c>
      <c r="F13" s="7">
        <f t="shared" si="2"/>
        <v>0.3</v>
      </c>
      <c r="G13" s="106">
        <v>0</v>
      </c>
      <c r="H13" s="106">
        <v>0</v>
      </c>
      <c r="I13" s="10" t="str">
        <f t="shared" si="0"/>
        <v>Будівелльні матеріали</v>
      </c>
      <c r="J13" s="79">
        <f t="shared" si="1"/>
        <v>0.3</v>
      </c>
      <c r="K13" s="58">
        <f t="shared" si="3"/>
        <v>0</v>
      </c>
    </row>
    <row r="14" spans="1:19" ht="22.5" customHeight="1" x14ac:dyDescent="0.25">
      <c r="A14" s="254"/>
      <c r="B14" s="118">
        <v>0</v>
      </c>
      <c r="C14" s="7">
        <v>11.2</v>
      </c>
      <c r="D14" s="160" t="s">
        <v>221</v>
      </c>
      <c r="E14" s="106">
        <v>10</v>
      </c>
      <c r="F14" s="7">
        <f t="shared" si="2"/>
        <v>11.2</v>
      </c>
      <c r="G14" s="106">
        <v>0</v>
      </c>
      <c r="H14" s="106">
        <v>0</v>
      </c>
      <c r="I14" s="10" t="str">
        <f t="shared" si="0"/>
        <v>Будівелльні матеріали</v>
      </c>
      <c r="J14" s="79">
        <f t="shared" si="1"/>
        <v>11.2</v>
      </c>
      <c r="K14" s="58">
        <f t="shared" si="3"/>
        <v>0</v>
      </c>
    </row>
    <row r="15" spans="1:19" ht="21" customHeight="1" x14ac:dyDescent="0.25">
      <c r="A15" s="254"/>
      <c r="B15" s="118">
        <v>0</v>
      </c>
      <c r="C15" s="7">
        <v>2.8</v>
      </c>
      <c r="D15" s="160" t="s">
        <v>225</v>
      </c>
      <c r="E15" s="106">
        <v>1</v>
      </c>
      <c r="F15" s="7">
        <f t="shared" si="2"/>
        <v>2.8</v>
      </c>
      <c r="G15" s="106">
        <v>0</v>
      </c>
      <c r="H15" s="106">
        <v>0</v>
      </c>
      <c r="I15" s="10" t="str">
        <f t="shared" si="0"/>
        <v>Макет догожного знаку</v>
      </c>
      <c r="J15" s="79">
        <f t="shared" si="1"/>
        <v>2.8</v>
      </c>
      <c r="K15" s="58">
        <f t="shared" si="3"/>
        <v>0</v>
      </c>
    </row>
    <row r="16" spans="1:19" s="19" customFormat="1" ht="22.5" customHeight="1" x14ac:dyDescent="0.25">
      <c r="A16" s="254"/>
      <c r="B16" s="118">
        <v>0</v>
      </c>
      <c r="C16" s="7">
        <v>8.5</v>
      </c>
      <c r="D16" s="160" t="s">
        <v>226</v>
      </c>
      <c r="E16" s="106">
        <v>1</v>
      </c>
      <c r="F16" s="7">
        <f t="shared" si="2"/>
        <v>8.5</v>
      </c>
      <c r="G16" s="106">
        <v>0</v>
      </c>
      <c r="H16" s="106">
        <v>0</v>
      </c>
      <c r="I16" s="10" t="str">
        <f t="shared" si="0"/>
        <v>Холодильник GRUNHELM GRW-138DD</v>
      </c>
      <c r="J16" s="79">
        <f t="shared" si="1"/>
        <v>8.5</v>
      </c>
      <c r="K16" s="58">
        <v>8.5</v>
      </c>
    </row>
    <row r="17" spans="1:19" s="19" customFormat="1" ht="30" customHeight="1" x14ac:dyDescent="0.25">
      <c r="A17" s="254"/>
      <c r="B17" s="118">
        <v>0</v>
      </c>
      <c r="C17" s="7">
        <v>13.3</v>
      </c>
      <c r="D17" s="160" t="s">
        <v>227</v>
      </c>
      <c r="E17" s="106">
        <v>30</v>
      </c>
      <c r="F17" s="7">
        <f t="shared" ref="F17:F22" si="4">ROUND(C17,2)</f>
        <v>13.3</v>
      </c>
      <c r="G17" s="106">
        <v>0</v>
      </c>
      <c r="H17" s="106">
        <v>0</v>
      </c>
      <c r="I17" s="10" t="str">
        <f t="shared" si="0"/>
        <v>Канцелярське приладдя</v>
      </c>
      <c r="J17" s="79">
        <f t="shared" si="1"/>
        <v>13.3</v>
      </c>
      <c r="K17" s="58">
        <f t="shared" si="3"/>
        <v>0</v>
      </c>
    </row>
    <row r="18" spans="1:19" s="19" customFormat="1" ht="31.5" customHeight="1" x14ac:dyDescent="0.25">
      <c r="A18" s="254"/>
      <c r="B18" s="118">
        <v>0</v>
      </c>
      <c r="C18" s="7">
        <v>3.6</v>
      </c>
      <c r="D18" s="160" t="s">
        <v>228</v>
      </c>
      <c r="E18" s="106">
        <v>1</v>
      </c>
      <c r="F18" s="7">
        <f t="shared" si="4"/>
        <v>3.6</v>
      </c>
      <c r="G18" s="106">
        <v>0</v>
      </c>
      <c r="H18" s="106">
        <v>0</v>
      </c>
      <c r="I18" s="10" t="str">
        <f t="shared" si="0"/>
        <v>Тример садовий Gartner BCE-1940</v>
      </c>
      <c r="J18" s="79">
        <f t="shared" si="1"/>
        <v>3.6</v>
      </c>
      <c r="K18" s="58">
        <v>3.6</v>
      </c>
    </row>
    <row r="19" spans="1:19" s="19" customFormat="1" ht="31.5" customHeight="1" x14ac:dyDescent="0.25">
      <c r="A19" s="254"/>
      <c r="B19" s="118">
        <v>0</v>
      </c>
      <c r="C19" s="7">
        <v>0.9</v>
      </c>
      <c r="D19" s="160" t="s">
        <v>221</v>
      </c>
      <c r="E19" s="106">
        <v>1</v>
      </c>
      <c r="F19" s="7">
        <f t="shared" si="4"/>
        <v>0.9</v>
      </c>
      <c r="G19" s="106">
        <v>0</v>
      </c>
      <c r="H19" s="106">
        <v>0</v>
      </c>
      <c r="I19" s="10" t="str">
        <f t="shared" si="0"/>
        <v>Будівелльні матеріали</v>
      </c>
      <c r="J19" s="79">
        <f t="shared" si="1"/>
        <v>0.9</v>
      </c>
      <c r="K19" s="58">
        <f t="shared" si="3"/>
        <v>0</v>
      </c>
    </row>
    <row r="20" spans="1:19" s="19" customFormat="1" ht="31.5" customHeight="1" x14ac:dyDescent="0.25">
      <c r="A20" s="254"/>
      <c r="B20" s="118">
        <v>0</v>
      </c>
      <c r="C20" s="7">
        <v>3.8</v>
      </c>
      <c r="D20" s="163" t="s">
        <v>229</v>
      </c>
      <c r="E20" s="106">
        <v>1</v>
      </c>
      <c r="F20" s="7">
        <f t="shared" si="4"/>
        <v>3.8</v>
      </c>
      <c r="G20" s="106">
        <v>0</v>
      </c>
      <c r="H20" s="106">
        <v>0</v>
      </c>
      <c r="I20" s="10" t="str">
        <f t="shared" si="0"/>
        <v>Халат медичний чоловічий</v>
      </c>
      <c r="J20" s="79">
        <f t="shared" si="1"/>
        <v>3.8</v>
      </c>
      <c r="K20" s="58">
        <v>3.8</v>
      </c>
    </row>
    <row r="21" spans="1:19" s="19" customFormat="1" ht="31.5" customHeight="1" x14ac:dyDescent="0.25">
      <c r="A21" s="254"/>
      <c r="B21" s="118">
        <v>0</v>
      </c>
      <c r="C21" s="7">
        <v>14.4</v>
      </c>
      <c r="D21" s="164" t="s">
        <v>230</v>
      </c>
      <c r="E21" s="106">
        <v>1</v>
      </c>
      <c r="F21" s="7">
        <f t="shared" si="4"/>
        <v>14.4</v>
      </c>
      <c r="G21" s="106">
        <v>0</v>
      </c>
      <c r="H21" s="106">
        <v>0</v>
      </c>
      <c r="I21" s="10" t="str">
        <f t="shared" si="0"/>
        <v>ЧВ-Пилосмок б/м SAMSUNG VC07M31A1HP/UK</v>
      </c>
      <c r="J21" s="79">
        <f t="shared" si="1"/>
        <v>14.4</v>
      </c>
      <c r="K21" s="58">
        <v>14.4</v>
      </c>
    </row>
    <row r="22" spans="1:19" s="19" customFormat="1" ht="31.5" customHeight="1" x14ac:dyDescent="0.25">
      <c r="A22" s="254"/>
      <c r="B22" s="118">
        <v>0</v>
      </c>
      <c r="C22" s="7">
        <v>1.7</v>
      </c>
      <c r="D22" s="160" t="s">
        <v>231</v>
      </c>
      <c r="E22" s="106">
        <v>2</v>
      </c>
      <c r="F22" s="7">
        <f t="shared" si="4"/>
        <v>1.7</v>
      </c>
      <c r="G22" s="106">
        <v>0</v>
      </c>
      <c r="H22" s="106">
        <v>0</v>
      </c>
      <c r="I22" s="10" t="str">
        <f t="shared" si="0"/>
        <v>Будівелльні матеріали (фарба)</v>
      </c>
      <c r="J22" s="79">
        <f t="shared" si="1"/>
        <v>1.7</v>
      </c>
      <c r="K22" s="58">
        <f t="shared" si="3"/>
        <v>0</v>
      </c>
    </row>
    <row r="23" spans="1:19" s="19" customFormat="1" ht="31.5" customHeight="1" thickBot="1" x14ac:dyDescent="0.3">
      <c r="A23" s="254"/>
      <c r="B23" s="118">
        <v>0</v>
      </c>
      <c r="C23" s="7">
        <v>8.6</v>
      </c>
      <c r="D23" s="162" t="s">
        <v>232</v>
      </c>
      <c r="E23" s="106">
        <v>7</v>
      </c>
      <c r="F23" s="7">
        <f t="shared" si="2"/>
        <v>8.6</v>
      </c>
      <c r="G23" s="106">
        <v>0</v>
      </c>
      <c r="H23" s="106">
        <v>0</v>
      </c>
      <c r="I23" s="10" t="str">
        <f t="shared" si="0"/>
        <v>Бензин А-95 (в толонах)</v>
      </c>
      <c r="J23" s="79">
        <f t="shared" si="1"/>
        <v>8.6</v>
      </c>
      <c r="K23" s="58">
        <f t="shared" si="3"/>
        <v>0</v>
      </c>
    </row>
    <row r="24" spans="1:19" s="6" customFormat="1" ht="44.25" customHeight="1" x14ac:dyDescent="0.3">
      <c r="A24" s="261" t="s">
        <v>216</v>
      </c>
      <c r="B24" s="272" t="s">
        <v>76</v>
      </c>
      <c r="C24" s="273"/>
      <c r="D24" s="273"/>
      <c r="E24" s="274"/>
      <c r="F24" s="16">
        <f>F25+F32+F48+F51+F54+F57+F59+F65+F68+F70+F40</f>
        <v>158.83906000000002</v>
      </c>
      <c r="G24" s="275" t="s">
        <v>76</v>
      </c>
      <c r="H24" s="273"/>
      <c r="I24" s="274"/>
      <c r="J24" s="80">
        <f>J25+J32+J48+J51+J54+J57+J59+J65+J68+J70+J40</f>
        <v>24.81418</v>
      </c>
      <c r="K24" s="56">
        <f>K25+K32+K48+K51+K54+K57+K59+K65+K68+K70+K40</f>
        <v>181.50962000000001</v>
      </c>
      <c r="L24" s="61"/>
      <c r="M24" s="61"/>
      <c r="N24" s="19"/>
      <c r="O24" s="19"/>
      <c r="P24" s="19"/>
      <c r="Q24" s="19"/>
      <c r="R24" s="19"/>
      <c r="S24" s="61"/>
    </row>
    <row r="25" spans="1:19" ht="35.25" customHeight="1" x14ac:dyDescent="0.25">
      <c r="A25" s="254"/>
      <c r="B25" s="264" t="s">
        <v>77</v>
      </c>
      <c r="C25" s="253"/>
      <c r="D25" s="253"/>
      <c r="E25" s="253"/>
      <c r="F25" s="32">
        <f>F26+F27+F28+F29+F31</f>
        <v>22.661519999999999</v>
      </c>
      <c r="G25" s="253" t="s">
        <v>77</v>
      </c>
      <c r="H25" s="253"/>
      <c r="I25" s="253"/>
      <c r="J25" s="137">
        <f>J26+J27+J28+J29+J31</f>
        <v>21.53152</v>
      </c>
      <c r="K25" s="55">
        <f>SUM(K26:K31)</f>
        <v>1.1299999999999999</v>
      </c>
    </row>
    <row r="26" spans="1:19" ht="32.25" customHeight="1" x14ac:dyDescent="0.25">
      <c r="A26" s="254"/>
      <c r="B26" s="118">
        <v>0</v>
      </c>
      <c r="C26" s="7">
        <v>35.200000000000003</v>
      </c>
      <c r="D26" s="10" t="s">
        <v>78</v>
      </c>
      <c r="E26" s="108">
        <v>0.2</v>
      </c>
      <c r="F26" s="7">
        <f>1213.49/1000</f>
        <v>1.21349</v>
      </c>
      <c r="G26" s="106">
        <v>0</v>
      </c>
      <c r="H26" s="106">
        <v>0</v>
      </c>
      <c r="I26" s="10" t="str">
        <f t="shared" ref="I26:I31" si="5">D26</f>
        <v>Середовище культуральне Flushing Medium 5x60ml, паков</v>
      </c>
      <c r="J26" s="79">
        <f>F26-K26</f>
        <v>1.21349</v>
      </c>
      <c r="K26" s="55">
        <v>0</v>
      </c>
    </row>
    <row r="27" spans="1:19" ht="32.25" customHeight="1" x14ac:dyDescent="0.25">
      <c r="A27" s="254"/>
      <c r="B27" s="118">
        <v>0</v>
      </c>
      <c r="C27" s="7">
        <v>0.23</v>
      </c>
      <c r="D27" s="10" t="s">
        <v>79</v>
      </c>
      <c r="E27" s="108">
        <v>0.2</v>
      </c>
      <c r="F27" s="7">
        <f>1904.07/1000</f>
        <v>1.9040699999999999</v>
      </c>
      <c r="G27" s="106">
        <v>0</v>
      </c>
      <c r="H27" s="106">
        <v>0</v>
      </c>
      <c r="I27" s="10" t="str">
        <f t="shared" si="5"/>
        <v>Середовище культуральне ICSI Cumulase 5x0,5ml, паков</v>
      </c>
      <c r="J27" s="79">
        <f>F27-K27</f>
        <v>0.77407000000000004</v>
      </c>
      <c r="K27" s="55">
        <v>1.1299999999999999</v>
      </c>
    </row>
    <row r="28" spans="1:19" ht="32.25" customHeight="1" x14ac:dyDescent="0.25">
      <c r="A28" s="254"/>
      <c r="B28" s="118">
        <v>0</v>
      </c>
      <c r="C28" s="7">
        <v>5.7</v>
      </c>
      <c r="D28" s="10" t="s">
        <v>80</v>
      </c>
      <c r="E28" s="108">
        <v>1</v>
      </c>
      <c r="F28" s="7">
        <f>3151.78/1000</f>
        <v>3.15178</v>
      </c>
      <c r="G28" s="106">
        <v>0</v>
      </c>
      <c r="H28" s="106">
        <v>0</v>
      </c>
      <c r="I28" s="10" t="str">
        <f t="shared" si="5"/>
        <v>Середовище культуральне UTM Transfer Medium, with phenol red 10 ml, паков</v>
      </c>
      <c r="J28" s="79">
        <f t="shared" ref="J28:J31" si="6">F28-K28</f>
        <v>3.15178</v>
      </c>
      <c r="K28" s="55">
        <v>0</v>
      </c>
    </row>
    <row r="29" spans="1:19" ht="32.25" customHeight="1" x14ac:dyDescent="0.25">
      <c r="A29" s="254"/>
      <c r="B29" s="118">
        <v>0</v>
      </c>
      <c r="C29" s="7">
        <v>60.3</v>
      </c>
      <c r="D29" s="10" t="s">
        <v>81</v>
      </c>
      <c r="E29" s="108">
        <v>5</v>
      </c>
      <c r="F29" s="7">
        <f>5907.2/1000</f>
        <v>5.9071999999999996</v>
      </c>
      <c r="G29" s="106">
        <v>0</v>
      </c>
      <c r="H29" s="106">
        <v>0</v>
      </c>
      <c r="I29" s="10" t="str">
        <f t="shared" si="5"/>
        <v>Середовище культуральне ORIGIO Sequential Fert, 10 ml, паков</v>
      </c>
      <c r="J29" s="79">
        <f t="shared" si="6"/>
        <v>5.9071999999999996</v>
      </c>
      <c r="K29" s="55">
        <v>0</v>
      </c>
    </row>
    <row r="30" spans="1:19" ht="32.25" customHeight="1" x14ac:dyDescent="0.25">
      <c r="A30" s="254"/>
      <c r="B30" s="118"/>
      <c r="C30" s="7">
        <v>27.6</v>
      </c>
      <c r="D30" s="10" t="s">
        <v>82</v>
      </c>
      <c r="E30" s="108">
        <v>1</v>
      </c>
      <c r="F30" s="7"/>
      <c r="G30" s="106"/>
      <c r="H30" s="106"/>
      <c r="I30" s="10" t="s">
        <v>82</v>
      </c>
      <c r="J30" s="79"/>
      <c r="K30" s="55"/>
    </row>
    <row r="31" spans="1:19" ht="32.25" customHeight="1" x14ac:dyDescent="0.25">
      <c r="A31" s="254"/>
      <c r="B31" s="118">
        <v>0</v>
      </c>
      <c r="C31" s="7">
        <v>2.4</v>
      </c>
      <c r="D31" s="10" t="s">
        <v>82</v>
      </c>
      <c r="E31" s="108">
        <v>5</v>
      </c>
      <c r="F31" s="7">
        <f>10484.98/1000</f>
        <v>10.48498</v>
      </c>
      <c r="G31" s="106">
        <v>0</v>
      </c>
      <c r="H31" s="106">
        <v>0</v>
      </c>
      <c r="I31" s="10" t="str">
        <f t="shared" si="5"/>
        <v>Середовище культуральне SAGE 1-Step™ with Human Serum Albumin 10 ml, паков</v>
      </c>
      <c r="J31" s="79">
        <f t="shared" si="6"/>
        <v>10.48498</v>
      </c>
      <c r="K31" s="55">
        <v>0</v>
      </c>
    </row>
    <row r="32" spans="1:19" ht="41.25" customHeight="1" x14ac:dyDescent="0.25">
      <c r="A32" s="254"/>
      <c r="B32" s="264" t="s">
        <v>77</v>
      </c>
      <c r="C32" s="253"/>
      <c r="D32" s="253"/>
      <c r="E32" s="253"/>
      <c r="F32" s="32"/>
      <c r="G32" s="253" t="s">
        <v>77</v>
      </c>
      <c r="H32" s="253"/>
      <c r="I32" s="253"/>
      <c r="J32" s="137"/>
      <c r="K32" s="55">
        <f>SUM(K33:K39)</f>
        <v>11.38645</v>
      </c>
    </row>
    <row r="33" spans="1:19" s="18" customFormat="1" ht="36.75" customHeight="1" x14ac:dyDescent="0.25">
      <c r="A33" s="254"/>
      <c r="B33" s="118">
        <v>0</v>
      </c>
      <c r="C33" s="7">
        <v>15.9</v>
      </c>
      <c r="D33" s="17" t="s">
        <v>82</v>
      </c>
      <c r="E33" s="108">
        <v>3</v>
      </c>
      <c r="F33" s="7">
        <f>6314.17/1000</f>
        <v>6.3141699999999998</v>
      </c>
      <c r="G33" s="106">
        <v>0</v>
      </c>
      <c r="H33" s="106">
        <v>0</v>
      </c>
      <c r="I33" s="10" t="str">
        <f t="shared" ref="I33:I39" si="7">D33</f>
        <v>Середовище культуральне SAGE 1-Step™ with Human Serum Albumin 10 ml, паков</v>
      </c>
      <c r="J33" s="79">
        <f t="shared" ref="J33:J38" si="8">F33-K33</f>
        <v>6.3141699999999998</v>
      </c>
      <c r="K33" s="55">
        <v>0</v>
      </c>
      <c r="L33" s="19"/>
      <c r="M33" s="19"/>
      <c r="N33" s="19"/>
      <c r="O33" s="19"/>
      <c r="P33" s="19"/>
      <c r="Q33" s="19"/>
      <c r="R33" s="19"/>
      <c r="S33" s="19"/>
    </row>
    <row r="34" spans="1:19" s="18" customFormat="1" ht="36.75" customHeight="1" x14ac:dyDescent="0.25">
      <c r="A34" s="254"/>
      <c r="B34" s="118">
        <v>0</v>
      </c>
      <c r="C34" s="7">
        <v>8.1999999999999993</v>
      </c>
      <c r="D34" s="17" t="s">
        <v>81</v>
      </c>
      <c r="E34" s="108">
        <v>2</v>
      </c>
      <c r="F34" s="7">
        <v>13</v>
      </c>
      <c r="G34" s="106">
        <v>0</v>
      </c>
      <c r="H34" s="106">
        <v>0</v>
      </c>
      <c r="I34" s="10" t="str">
        <f t="shared" si="7"/>
        <v>Середовище культуральне ORIGIO Sequential Fert, 10 ml, паков</v>
      </c>
      <c r="J34" s="79">
        <f t="shared" si="8"/>
        <v>13</v>
      </c>
      <c r="K34" s="55">
        <v>0</v>
      </c>
      <c r="L34" s="19"/>
      <c r="M34" s="19"/>
      <c r="N34" s="19"/>
      <c r="O34" s="19"/>
      <c r="P34" s="19"/>
      <c r="Q34" s="19"/>
      <c r="R34" s="19"/>
      <c r="S34" s="19"/>
    </row>
    <row r="35" spans="1:19" s="18" customFormat="1" ht="36.75" customHeight="1" x14ac:dyDescent="0.25">
      <c r="A35" s="254"/>
      <c r="B35" s="118">
        <v>0</v>
      </c>
      <c r="C35" s="7">
        <v>65.2</v>
      </c>
      <c r="D35" s="17" t="s">
        <v>80</v>
      </c>
      <c r="E35" s="108">
        <v>1</v>
      </c>
      <c r="F35" s="7">
        <f>3163.39/1000</f>
        <v>3.1633899999999997</v>
      </c>
      <c r="G35" s="106">
        <v>0</v>
      </c>
      <c r="H35" s="106">
        <v>0</v>
      </c>
      <c r="I35" s="10" t="str">
        <f t="shared" si="7"/>
        <v>Середовище культуральне UTM Transfer Medium, with phenol red 10 ml, паков</v>
      </c>
      <c r="J35" s="79">
        <f t="shared" si="8"/>
        <v>3.1633899999999997</v>
      </c>
      <c r="K35" s="55">
        <v>0</v>
      </c>
      <c r="L35" s="19"/>
      <c r="M35" s="19"/>
      <c r="N35" s="19"/>
      <c r="O35" s="19"/>
      <c r="P35" s="19"/>
      <c r="Q35" s="19"/>
      <c r="R35" s="19"/>
      <c r="S35" s="19"/>
    </row>
    <row r="36" spans="1:19" s="18" customFormat="1" ht="36.75" customHeight="1" x14ac:dyDescent="0.25">
      <c r="A36" s="254"/>
      <c r="B36" s="118">
        <v>0</v>
      </c>
      <c r="C36" s="7">
        <v>7.8</v>
      </c>
      <c r="D36" s="17" t="s">
        <v>78</v>
      </c>
      <c r="E36" s="108">
        <v>0.2</v>
      </c>
      <c r="F36" s="7">
        <f>1217.96/1000</f>
        <v>1.2179599999999999</v>
      </c>
      <c r="G36" s="106">
        <v>0</v>
      </c>
      <c r="H36" s="106">
        <v>0</v>
      </c>
      <c r="I36" s="10" t="str">
        <f t="shared" si="7"/>
        <v>Середовище культуральне Flushing Medium 5x60ml, паков</v>
      </c>
      <c r="J36" s="79">
        <f t="shared" si="8"/>
        <v>1.2179599999999999</v>
      </c>
      <c r="K36" s="55">
        <v>0</v>
      </c>
      <c r="L36" s="19"/>
      <c r="M36" s="19"/>
      <c r="N36" s="19"/>
      <c r="O36" s="19"/>
      <c r="P36" s="19"/>
      <c r="Q36" s="19"/>
      <c r="R36" s="19"/>
      <c r="S36" s="19"/>
    </row>
    <row r="37" spans="1:19" s="18" customFormat="1" ht="36.75" customHeight="1" x14ac:dyDescent="0.25">
      <c r="A37" s="254"/>
      <c r="B37" s="118">
        <v>0</v>
      </c>
      <c r="C37" s="7">
        <v>42.6</v>
      </c>
      <c r="D37" s="17" t="s">
        <v>83</v>
      </c>
      <c r="E37" s="108">
        <v>1</v>
      </c>
      <c r="F37" s="7">
        <f>5219.7/1000</f>
        <v>5.2196999999999996</v>
      </c>
      <c r="G37" s="106">
        <v>0</v>
      </c>
      <c r="H37" s="106">
        <v>0</v>
      </c>
      <c r="I37" s="10" t="str">
        <f t="shared" si="7"/>
        <v>Середовище культуральне PVP 10% Ready-To-Use Solution 6x0.5 ml, паков</v>
      </c>
      <c r="J37" s="79">
        <f t="shared" si="8"/>
        <v>1.9699999999999385E-2</v>
      </c>
      <c r="K37" s="55">
        <v>5.2</v>
      </c>
      <c r="L37" s="19"/>
      <c r="M37" s="19"/>
      <c r="N37" s="19"/>
      <c r="O37" s="19"/>
      <c r="P37" s="19"/>
      <c r="Q37" s="19"/>
      <c r="R37" s="19"/>
      <c r="S37" s="19"/>
    </row>
    <row r="38" spans="1:19" s="18" customFormat="1" ht="49.5" customHeight="1" x14ac:dyDescent="0.25">
      <c r="A38" s="254"/>
      <c r="B38" s="118">
        <v>0</v>
      </c>
      <c r="C38" s="7">
        <v>13.3</v>
      </c>
      <c r="D38" s="17" t="s">
        <v>84</v>
      </c>
      <c r="E38" s="108">
        <v>0.16600000000000001</v>
      </c>
      <c r="F38" s="7">
        <f>1079.6/1000</f>
        <v>1.0795999999999999</v>
      </c>
      <c r="G38" s="106">
        <v>0</v>
      </c>
      <c r="H38" s="106">
        <v>0</v>
      </c>
      <c r="I38" s="10" t="str">
        <f t="shared" si="7"/>
        <v>Середовища культуральні Quinn`s Advantage Sperm Freezing Medium 6x12ml, паков</v>
      </c>
      <c r="J38" s="79">
        <f t="shared" si="8"/>
        <v>0.44959999999999989</v>
      </c>
      <c r="K38" s="55">
        <v>0.63</v>
      </c>
      <c r="L38" s="19"/>
      <c r="M38" s="19"/>
      <c r="N38" s="19"/>
      <c r="O38" s="19"/>
      <c r="P38" s="19"/>
      <c r="Q38" s="19"/>
      <c r="R38" s="19"/>
      <c r="S38" s="19"/>
    </row>
    <row r="39" spans="1:19" s="18" customFormat="1" ht="36.75" customHeight="1" x14ac:dyDescent="0.25">
      <c r="A39" s="254"/>
      <c r="B39" s="118">
        <v>0</v>
      </c>
      <c r="C39" s="7">
        <v>36.9</v>
      </c>
      <c r="D39" s="17" t="s">
        <v>85</v>
      </c>
      <c r="E39" s="108">
        <v>1</v>
      </c>
      <c r="F39" s="7">
        <f>5556.45/1000</f>
        <v>5.5564499999999999</v>
      </c>
      <c r="G39" s="106">
        <v>0</v>
      </c>
      <c r="H39" s="106">
        <v>0</v>
      </c>
      <c r="I39" s="10" t="str">
        <f t="shared" si="7"/>
        <v>STRIPPER® наконечник 1000µm, паков</v>
      </c>
      <c r="J39" s="79">
        <v>36.9</v>
      </c>
      <c r="K39" s="55">
        <f>F39</f>
        <v>5.5564499999999999</v>
      </c>
      <c r="L39" s="19"/>
      <c r="M39" s="19"/>
      <c r="N39" s="19"/>
      <c r="O39" s="19"/>
      <c r="P39" s="19"/>
      <c r="Q39" s="19"/>
      <c r="R39" s="19"/>
      <c r="S39" s="19"/>
    </row>
    <row r="40" spans="1:19" s="19" customFormat="1" ht="39" customHeight="1" x14ac:dyDescent="0.25">
      <c r="A40" s="254"/>
      <c r="B40" s="264" t="s">
        <v>77</v>
      </c>
      <c r="C40" s="253"/>
      <c r="D40" s="253"/>
      <c r="E40" s="253"/>
      <c r="F40" s="32"/>
      <c r="G40" s="253" t="s">
        <v>77</v>
      </c>
      <c r="H40" s="253"/>
      <c r="I40" s="253"/>
      <c r="J40" s="137"/>
      <c r="K40" s="55">
        <f>SUM(K41:K47)</f>
        <v>36.098289999999999</v>
      </c>
    </row>
    <row r="41" spans="1:19" s="19" customFormat="1" ht="46.5" customHeight="1" x14ac:dyDescent="0.25">
      <c r="A41" s="254"/>
      <c r="B41" s="118">
        <v>0</v>
      </c>
      <c r="C41" s="7">
        <f t="shared" ref="C41:C47" si="9">F40:F41</f>
        <v>4.9517899999999999</v>
      </c>
      <c r="D41" s="17" t="s">
        <v>80</v>
      </c>
      <c r="E41" s="109">
        <v>2</v>
      </c>
      <c r="F41" s="7">
        <f>4951.79/1000</f>
        <v>4.9517899999999999</v>
      </c>
      <c r="G41" s="106">
        <v>0</v>
      </c>
      <c r="H41" s="106">
        <v>0</v>
      </c>
      <c r="I41" s="10" t="str">
        <f t="shared" ref="I41:I47" si="10">D41</f>
        <v>Середовище культуральне UTM Transfer Medium, with phenol red 10 ml, паков</v>
      </c>
      <c r="J41" s="79">
        <f t="shared" ref="J41:J46" si="11">F41-K41</f>
        <v>1.8317899999999998</v>
      </c>
      <c r="K41" s="55">
        <v>3.12</v>
      </c>
    </row>
    <row r="42" spans="1:19" s="19" customFormat="1" ht="37.5" customHeight="1" x14ac:dyDescent="0.25">
      <c r="A42" s="254"/>
      <c r="B42" s="118">
        <v>0</v>
      </c>
      <c r="C42" s="7">
        <f t="shared" si="9"/>
        <v>2.8594200000000001</v>
      </c>
      <c r="D42" s="17" t="s">
        <v>78</v>
      </c>
      <c r="E42" s="109">
        <v>0.6</v>
      </c>
      <c r="F42" s="7">
        <f>2859.42/1000</f>
        <v>2.8594200000000001</v>
      </c>
      <c r="G42" s="106">
        <v>0</v>
      </c>
      <c r="H42" s="106">
        <v>0</v>
      </c>
      <c r="I42" s="10" t="str">
        <f t="shared" si="10"/>
        <v>Середовище культуральне Flushing Medium 5x60ml, паков</v>
      </c>
      <c r="J42" s="79">
        <f t="shared" si="11"/>
        <v>1.6694200000000001</v>
      </c>
      <c r="K42" s="55">
        <v>1.19</v>
      </c>
    </row>
    <row r="43" spans="1:19" s="19" customFormat="1" ht="37.5" customHeight="1" x14ac:dyDescent="0.25">
      <c r="A43" s="254"/>
      <c r="B43" s="118">
        <v>0</v>
      </c>
      <c r="C43" s="7">
        <f t="shared" si="9"/>
        <v>7.4269999999999996</v>
      </c>
      <c r="D43" s="17" t="s">
        <v>81</v>
      </c>
      <c r="E43" s="109">
        <v>8</v>
      </c>
      <c r="F43" s="7">
        <f>7427/1000</f>
        <v>7.4269999999999996</v>
      </c>
      <c r="G43" s="106">
        <v>0</v>
      </c>
      <c r="H43" s="106">
        <v>0</v>
      </c>
      <c r="I43" s="10" t="str">
        <f t="shared" si="10"/>
        <v>Середовище культуральне ORIGIO Sequential Fert, 10 ml, паков</v>
      </c>
      <c r="J43" s="79">
        <f t="shared" si="11"/>
        <v>7.4269999999999996</v>
      </c>
      <c r="K43" s="55">
        <v>0</v>
      </c>
    </row>
    <row r="44" spans="1:19" s="19" customFormat="1" ht="37.5" customHeight="1" x14ac:dyDescent="0.25">
      <c r="A44" s="254"/>
      <c r="B44" s="118">
        <v>0</v>
      </c>
      <c r="C44" s="7">
        <f t="shared" si="9"/>
        <v>8.0869599999999995</v>
      </c>
      <c r="D44" s="31" t="s">
        <v>86</v>
      </c>
      <c r="E44" s="109">
        <v>1</v>
      </c>
      <c r="F44" s="7">
        <f>8086.96/1000</f>
        <v>8.0869599999999995</v>
      </c>
      <c r="G44" s="106">
        <v>0</v>
      </c>
      <c r="H44" s="106">
        <v>0</v>
      </c>
      <c r="I44" s="10" t="str">
        <f t="shared" si="10"/>
        <v>ORIGIO Sperm Wash 10 x 10ml, паков</v>
      </c>
      <c r="J44" s="79">
        <f t="shared" si="11"/>
        <v>0</v>
      </c>
      <c r="K44" s="55">
        <f>F44</f>
        <v>8.0869599999999995</v>
      </c>
    </row>
    <row r="45" spans="1:19" s="19" customFormat="1" ht="51" customHeight="1" x14ac:dyDescent="0.25">
      <c r="A45" s="254"/>
      <c r="B45" s="118">
        <v>0</v>
      </c>
      <c r="C45" s="7">
        <f t="shared" si="9"/>
        <v>12.45215</v>
      </c>
      <c r="D45" s="17" t="s">
        <v>82</v>
      </c>
      <c r="E45" s="109">
        <v>8</v>
      </c>
      <c r="F45" s="7">
        <f>12452.15/1000</f>
        <v>12.45215</v>
      </c>
      <c r="G45" s="106">
        <v>0</v>
      </c>
      <c r="H45" s="106">
        <v>0</v>
      </c>
      <c r="I45" s="10" t="str">
        <f t="shared" si="10"/>
        <v>Середовище культуральне SAGE 1-Step™ with Human Serum Albumin 10 ml, паков</v>
      </c>
      <c r="J45" s="79">
        <f t="shared" si="11"/>
        <v>2.7721499999999999</v>
      </c>
      <c r="K45" s="55">
        <v>9.68</v>
      </c>
    </row>
    <row r="46" spans="1:19" s="19" customFormat="1" ht="48.75" customHeight="1" x14ac:dyDescent="0.25">
      <c r="A46" s="254"/>
      <c r="B46" s="118">
        <v>0</v>
      </c>
      <c r="C46" s="7">
        <f t="shared" si="9"/>
        <v>15.565160000000001</v>
      </c>
      <c r="D46" s="17" t="s">
        <v>87</v>
      </c>
      <c r="E46" s="109">
        <v>1</v>
      </c>
      <c r="F46" s="7">
        <f>15565.16/1000</f>
        <v>15.565160000000001</v>
      </c>
      <c r="G46" s="106">
        <v>0</v>
      </c>
      <c r="H46" s="106">
        <v>0</v>
      </c>
      <c r="I46" s="10" t="str">
        <f t="shared" si="10"/>
        <v>Середовища культуральні PureCeption 24-Determination By-Layer Kit 12 x 12 ml, паков</v>
      </c>
      <c r="J46" s="79">
        <f t="shared" si="11"/>
        <v>5.8951600000000006</v>
      </c>
      <c r="K46" s="55">
        <v>9.67</v>
      </c>
    </row>
    <row r="47" spans="1:19" s="19" customFormat="1" ht="37.5" customHeight="1" thickBot="1" x14ac:dyDescent="0.3">
      <c r="A47" s="255"/>
      <c r="B47" s="120">
        <v>0</v>
      </c>
      <c r="C47" s="20">
        <f t="shared" si="9"/>
        <v>4.3513299999999999</v>
      </c>
      <c r="D47" s="36" t="s">
        <v>85</v>
      </c>
      <c r="E47" s="154">
        <v>1</v>
      </c>
      <c r="F47" s="20">
        <f>4351.33/1000</f>
        <v>4.3513299999999999</v>
      </c>
      <c r="G47" s="115">
        <v>0</v>
      </c>
      <c r="H47" s="115">
        <v>0</v>
      </c>
      <c r="I47" s="22" t="str">
        <f t="shared" si="10"/>
        <v>STRIPPER® наконечник 1000µm, паков</v>
      </c>
      <c r="J47" s="81">
        <f>F47-K47</f>
        <v>0</v>
      </c>
      <c r="K47" s="54">
        <f>F47</f>
        <v>4.3513299999999999</v>
      </c>
    </row>
    <row r="48" spans="1:19" ht="40.5" customHeight="1" x14ac:dyDescent="0.25">
      <c r="A48" s="261" t="s">
        <v>216</v>
      </c>
      <c r="B48" s="262" t="s">
        <v>77</v>
      </c>
      <c r="C48" s="263"/>
      <c r="D48" s="263"/>
      <c r="E48" s="263"/>
      <c r="F48" s="16">
        <f>F49+F50</f>
        <v>13.103530000000001</v>
      </c>
      <c r="G48" s="263" t="s">
        <v>77</v>
      </c>
      <c r="H48" s="263"/>
      <c r="I48" s="263"/>
      <c r="J48" s="84">
        <f t="shared" ref="J48:J55" si="12">F48-K48</f>
        <v>0</v>
      </c>
      <c r="K48" s="59">
        <f>SUM(K49:K50)</f>
        <v>13.103530000000001</v>
      </c>
    </row>
    <row r="49" spans="1:18" ht="37.5" customHeight="1" x14ac:dyDescent="0.25">
      <c r="A49" s="254"/>
      <c r="B49" s="118">
        <v>0</v>
      </c>
      <c r="C49" s="7">
        <f>F39:F49</f>
        <v>8.4191200000000013</v>
      </c>
      <c r="D49" s="10" t="s">
        <v>88</v>
      </c>
      <c r="E49" s="108">
        <v>1</v>
      </c>
      <c r="F49" s="7">
        <f>8419.12/1000</f>
        <v>8.4191200000000013</v>
      </c>
      <c r="G49" s="106">
        <v>0</v>
      </c>
      <c r="H49" s="106">
        <v>0</v>
      </c>
      <c r="I49" s="10" t="str">
        <f t="shared" ref="I49:I50" si="13">D49</f>
        <v>205 Середовища для розморожування (14,4 мл), шт</v>
      </c>
      <c r="J49" s="79">
        <f t="shared" si="12"/>
        <v>0</v>
      </c>
      <c r="K49" s="55">
        <f>F49</f>
        <v>8.4191200000000013</v>
      </c>
    </row>
    <row r="50" spans="1:18" ht="43.5" customHeight="1" x14ac:dyDescent="0.25">
      <c r="A50" s="254"/>
      <c r="B50" s="118">
        <v>0</v>
      </c>
      <c r="C50" s="7">
        <f t="shared" ref="C50" si="14">F49:F50</f>
        <v>4.6844099999999997</v>
      </c>
      <c r="D50" s="10" t="s">
        <v>89</v>
      </c>
      <c r="E50" s="108">
        <v>1</v>
      </c>
      <c r="F50" s="7">
        <f>4684.41/1000</f>
        <v>4.6844099999999997</v>
      </c>
      <c r="G50" s="106">
        <v>0</v>
      </c>
      <c r="H50" s="106">
        <v>0</v>
      </c>
      <c r="I50" s="10" t="str">
        <f t="shared" si="13"/>
        <v>WP Пластикова чашка для вітрифікації (10 од/уп), паков</v>
      </c>
      <c r="J50" s="79">
        <f t="shared" si="12"/>
        <v>0</v>
      </c>
      <c r="K50" s="55">
        <f>F50</f>
        <v>4.6844099999999997</v>
      </c>
    </row>
    <row r="51" spans="1:18" ht="37.5" customHeight="1" x14ac:dyDescent="0.25">
      <c r="A51" s="254"/>
      <c r="B51" s="264" t="s">
        <v>77</v>
      </c>
      <c r="C51" s="253"/>
      <c r="D51" s="253"/>
      <c r="E51" s="253"/>
      <c r="F51" s="32">
        <f>F52+F53</f>
        <v>13.816140000000001</v>
      </c>
      <c r="G51" s="253" t="s">
        <v>77</v>
      </c>
      <c r="H51" s="253"/>
      <c r="I51" s="253"/>
      <c r="J51" s="79">
        <f t="shared" si="12"/>
        <v>0</v>
      </c>
      <c r="K51" s="55">
        <f>SUM(K52:K53)</f>
        <v>13.816140000000001</v>
      </c>
    </row>
    <row r="52" spans="1:18" ht="39.75" customHeight="1" x14ac:dyDescent="0.25">
      <c r="A52" s="254"/>
      <c r="B52" s="118">
        <v>0</v>
      </c>
      <c r="C52" s="7">
        <f>F50:F52</f>
        <v>5.8286300000000004</v>
      </c>
      <c r="D52" s="10" t="s">
        <v>90</v>
      </c>
      <c r="E52" s="108">
        <v>1</v>
      </c>
      <c r="F52" s="7">
        <f>5828.63/1000</f>
        <v>5.8286300000000004</v>
      </c>
      <c r="G52" s="106">
        <v>0</v>
      </c>
      <c r="H52" s="106">
        <v>0</v>
      </c>
      <c r="I52" s="10" t="str">
        <f t="shared" ref="I52:I53" si="15">D52</f>
        <v>SPD-30 Мікропіпетки для часткового розсічення зони пелюсіда, з кутом 30° (10 од/уп)</v>
      </c>
      <c r="J52" s="79">
        <f t="shared" si="12"/>
        <v>0</v>
      </c>
      <c r="K52" s="55">
        <f>F52</f>
        <v>5.8286300000000004</v>
      </c>
    </row>
    <row r="53" spans="1:18" ht="39.75" customHeight="1" x14ac:dyDescent="0.25">
      <c r="A53" s="254"/>
      <c r="B53" s="118">
        <v>0</v>
      </c>
      <c r="C53" s="7">
        <f t="shared" ref="C53" si="16">F52:F53</f>
        <v>7.9875100000000003</v>
      </c>
      <c r="D53" s="10" t="s">
        <v>91</v>
      </c>
      <c r="E53" s="108">
        <v>1</v>
      </c>
      <c r="F53" s="7">
        <f>7987.51/1000</f>
        <v>7.9875100000000003</v>
      </c>
      <c r="G53" s="106">
        <v>0</v>
      </c>
      <c r="H53" s="106">
        <v>0</v>
      </c>
      <c r="I53" s="10" t="str">
        <f t="shared" si="15"/>
        <v>SIC-50W-35 Інжекторні мікропіпетки для проведення ІКСІ ID:5,0 мм/35° (10 од/уп)</v>
      </c>
      <c r="J53" s="79">
        <f t="shared" si="12"/>
        <v>0</v>
      </c>
      <c r="K53" s="55">
        <f>F53</f>
        <v>7.9875100000000003</v>
      </c>
    </row>
    <row r="54" spans="1:18" ht="36" customHeight="1" x14ac:dyDescent="0.25">
      <c r="A54" s="254"/>
      <c r="B54" s="264" t="s">
        <v>77</v>
      </c>
      <c r="C54" s="253"/>
      <c r="D54" s="253"/>
      <c r="E54" s="253"/>
      <c r="F54" s="32">
        <f>F55+F56</f>
        <v>16.31775</v>
      </c>
      <c r="G54" s="253" t="s">
        <v>77</v>
      </c>
      <c r="H54" s="253"/>
      <c r="I54" s="253"/>
      <c r="J54" s="79">
        <f t="shared" si="12"/>
        <v>0</v>
      </c>
      <c r="K54" s="55">
        <f>SUM(K55:K56)</f>
        <v>16.31775</v>
      </c>
    </row>
    <row r="55" spans="1:18" s="19" customFormat="1" ht="54.75" customHeight="1" x14ac:dyDescent="0.3">
      <c r="A55" s="254"/>
      <c r="B55" s="118">
        <v>0</v>
      </c>
      <c r="C55" s="7">
        <f>F53:F55</f>
        <v>10.66662</v>
      </c>
      <c r="D55" s="10" t="s">
        <v>92</v>
      </c>
      <c r="E55" s="106">
        <v>10</v>
      </c>
      <c r="F55" s="7">
        <f>(1066.662/1000)*E55</f>
        <v>10.66662</v>
      </c>
      <c r="G55" s="106">
        <v>0</v>
      </c>
      <c r="H55" s="106">
        <v>0</v>
      </c>
      <c r="I55" s="10" t="str">
        <f t="shared" ref="I55:I56" si="17">D55</f>
        <v>K-JETS-7019 Вигнутий катетер для переносу ембріонів, трансферний катетер 2.8Fr-24cm та навігаційний катетер 6.6Fr-17.3cm, шт</v>
      </c>
      <c r="J55" s="79">
        <f t="shared" si="12"/>
        <v>0</v>
      </c>
      <c r="K55" s="55">
        <f>F55</f>
        <v>10.66662</v>
      </c>
      <c r="N55" s="61"/>
      <c r="O55" s="61"/>
      <c r="P55" s="61"/>
      <c r="Q55" s="61"/>
      <c r="R55" s="61"/>
    </row>
    <row r="56" spans="1:18" s="19" customFormat="1" ht="54.75" customHeight="1" x14ac:dyDescent="0.25">
      <c r="A56" s="254"/>
      <c r="B56" s="118">
        <v>0</v>
      </c>
      <c r="C56" s="7">
        <f t="shared" ref="C56" si="18">F55:F56</f>
        <v>5.6511300000000002</v>
      </c>
      <c r="D56" s="10" t="s">
        <v>93</v>
      </c>
      <c r="E56" s="106">
        <v>1</v>
      </c>
      <c r="F56" s="7">
        <f>5651.13/1000</f>
        <v>5.6511300000000002</v>
      </c>
      <c r="G56" s="106">
        <v>0</v>
      </c>
      <c r="H56" s="106">
        <v>0</v>
      </c>
      <c r="I56" s="10" t="str">
        <f t="shared" si="17"/>
        <v>K-HPIP-1035 Холдінгові мікропіпетки для проведення ІКСІ вн.діаметр 17µm зовнішній діаметр 80µm та кутом 35 градусів, 10 од. в упаковці, паков</v>
      </c>
      <c r="J56" s="79">
        <f>F56-K56</f>
        <v>0</v>
      </c>
      <c r="K56" s="55">
        <f>F56</f>
        <v>5.6511300000000002</v>
      </c>
    </row>
    <row r="57" spans="1:18" s="19" customFormat="1" ht="34.5" customHeight="1" x14ac:dyDescent="0.25">
      <c r="A57" s="254"/>
      <c r="B57" s="264" t="s">
        <v>77</v>
      </c>
      <c r="C57" s="253"/>
      <c r="D57" s="253"/>
      <c r="E57" s="253"/>
      <c r="F57" s="32">
        <f>F58</f>
        <v>0.21587999999999999</v>
      </c>
      <c r="G57" s="253" t="s">
        <v>77</v>
      </c>
      <c r="H57" s="253"/>
      <c r="I57" s="253"/>
      <c r="J57" s="137">
        <f>J58</f>
        <v>3.9879999999999999E-2</v>
      </c>
      <c r="K57" s="55">
        <f>SUM(K58)</f>
        <v>0.17599999999999999</v>
      </c>
    </row>
    <row r="58" spans="1:18" s="19" customFormat="1" ht="27.6" x14ac:dyDescent="0.3">
      <c r="A58" s="254"/>
      <c r="B58" s="118">
        <v>0</v>
      </c>
      <c r="C58" s="7">
        <f>F56:F58</f>
        <v>0.21587999999999999</v>
      </c>
      <c r="D58" s="10" t="s">
        <v>94</v>
      </c>
      <c r="E58" s="106">
        <v>10</v>
      </c>
      <c r="F58" s="7">
        <f>215.88/1000</f>
        <v>0.21587999999999999</v>
      </c>
      <c r="G58" s="106">
        <v>0</v>
      </c>
      <c r="H58" s="106">
        <v>0</v>
      </c>
      <c r="I58" s="10" t="str">
        <f t="shared" ref="I58:I73" si="19">D58</f>
        <v>OOPW-IC06 Oosafe 50 мм чашка, тонка стінка, необроблена поверхня, шт.</v>
      </c>
      <c r="J58" s="79">
        <f>F58-K58</f>
        <v>3.9879999999999999E-2</v>
      </c>
      <c r="K58" s="55">
        <v>0.17599999999999999</v>
      </c>
      <c r="N58" s="61"/>
      <c r="O58" s="61"/>
      <c r="P58" s="61"/>
      <c r="Q58" s="61"/>
      <c r="R58" s="61"/>
    </row>
    <row r="59" spans="1:18" s="19" customFormat="1" ht="42" customHeight="1" x14ac:dyDescent="0.25">
      <c r="A59" s="254"/>
      <c r="B59" s="264" t="s">
        <v>77</v>
      </c>
      <c r="C59" s="253"/>
      <c r="D59" s="253"/>
      <c r="E59" s="253"/>
      <c r="F59" s="32">
        <f>F60+F61+F62+F63+F64</f>
        <v>22.802759999999999</v>
      </c>
      <c r="G59" s="253" t="s">
        <v>77</v>
      </c>
      <c r="H59" s="253"/>
      <c r="I59" s="253"/>
      <c r="J59" s="137">
        <f>J60+J61+J62+J63+J64</f>
        <v>3.2427800000000016</v>
      </c>
      <c r="K59" s="55">
        <f>SUM(K60:K64)</f>
        <v>19.559979999999999</v>
      </c>
    </row>
    <row r="60" spans="1:18" s="19" customFormat="1" ht="27.6" x14ac:dyDescent="0.25">
      <c r="A60" s="254"/>
      <c r="B60" s="118">
        <v>0</v>
      </c>
      <c r="C60" s="7">
        <f>F58:F60</f>
        <v>3.1444200000000002</v>
      </c>
      <c r="D60" s="10" t="s">
        <v>80</v>
      </c>
      <c r="E60" s="108">
        <v>1</v>
      </c>
      <c r="F60" s="7">
        <f>3144.42/1000</f>
        <v>3.1444200000000002</v>
      </c>
      <c r="G60" s="106">
        <v>0</v>
      </c>
      <c r="H60" s="106">
        <v>0</v>
      </c>
      <c r="I60" s="10" t="str">
        <f t="shared" si="19"/>
        <v>Середовище культуральне UTM Transfer Medium, with phenol red 10 ml, паков</v>
      </c>
      <c r="J60" s="79">
        <f t="shared" ref="J60:J63" si="20">F60-K60</f>
        <v>0</v>
      </c>
      <c r="K60" s="55">
        <f>F60</f>
        <v>3.1444200000000002</v>
      </c>
    </row>
    <row r="61" spans="1:18" s="19" customFormat="1" ht="32.25" customHeight="1" x14ac:dyDescent="0.25">
      <c r="A61" s="254"/>
      <c r="B61" s="118">
        <v>0</v>
      </c>
      <c r="C61" s="7">
        <f t="shared" ref="C61:C73" si="21">F60:F61</f>
        <v>1.21065</v>
      </c>
      <c r="D61" s="10" t="s">
        <v>78</v>
      </c>
      <c r="E61" s="108">
        <v>0.2</v>
      </c>
      <c r="F61" s="7">
        <f>1210.65/1000</f>
        <v>1.21065</v>
      </c>
      <c r="G61" s="106">
        <v>0</v>
      </c>
      <c r="H61" s="106">
        <v>0</v>
      </c>
      <c r="I61" s="10" t="str">
        <f t="shared" si="19"/>
        <v>Середовище культуральне Flushing Medium 5x60ml, паков</v>
      </c>
      <c r="J61" s="79">
        <f t="shared" si="20"/>
        <v>0</v>
      </c>
      <c r="K61" s="55">
        <f>F61</f>
        <v>1.21065</v>
      </c>
    </row>
    <row r="62" spans="1:18" s="19" customFormat="1" ht="32.25" customHeight="1" x14ac:dyDescent="0.25">
      <c r="A62" s="254"/>
      <c r="B62" s="118">
        <v>0</v>
      </c>
      <c r="C62" s="7">
        <f t="shared" si="21"/>
        <v>1.8996199999999999</v>
      </c>
      <c r="D62" s="10" t="s">
        <v>79</v>
      </c>
      <c r="E62" s="108">
        <v>0.2</v>
      </c>
      <c r="F62" s="7">
        <f>1899.62/1000</f>
        <v>1.8996199999999999</v>
      </c>
      <c r="G62" s="106">
        <v>0</v>
      </c>
      <c r="H62" s="106">
        <v>0</v>
      </c>
      <c r="I62" s="10" t="str">
        <f t="shared" si="19"/>
        <v>Середовище культуральне ICSI Cumulase 5x0,5ml, паков</v>
      </c>
      <c r="J62" s="79">
        <f t="shared" si="20"/>
        <v>0</v>
      </c>
      <c r="K62" s="55">
        <f>F62</f>
        <v>1.8996199999999999</v>
      </c>
    </row>
    <row r="63" spans="1:18" s="19" customFormat="1" ht="32.25" customHeight="1" x14ac:dyDescent="0.25">
      <c r="A63" s="254"/>
      <c r="B63" s="118">
        <v>0</v>
      </c>
      <c r="C63" s="7">
        <f t="shared" si="21"/>
        <v>6.2762900000000004</v>
      </c>
      <c r="D63" s="10" t="s">
        <v>82</v>
      </c>
      <c r="E63" s="108">
        <v>3</v>
      </c>
      <c r="F63" s="7">
        <f>6276.29/1000</f>
        <v>6.2762900000000004</v>
      </c>
      <c r="G63" s="106">
        <v>0</v>
      </c>
      <c r="H63" s="106">
        <v>0</v>
      </c>
      <c r="I63" s="10" t="str">
        <f t="shared" si="19"/>
        <v>Середовище культуральне SAGE 1-Step™ with Human Serum Albumin 10 ml, паков</v>
      </c>
      <c r="J63" s="79">
        <f t="shared" si="20"/>
        <v>0</v>
      </c>
      <c r="K63" s="55">
        <f>F63</f>
        <v>6.2762900000000004</v>
      </c>
    </row>
    <row r="64" spans="1:18" s="19" customFormat="1" ht="32.25" customHeight="1" x14ac:dyDescent="0.25">
      <c r="A64" s="254"/>
      <c r="B64" s="118">
        <v>0</v>
      </c>
      <c r="C64" s="7">
        <f t="shared" si="21"/>
        <v>10.271780000000001</v>
      </c>
      <c r="D64" s="10" t="s">
        <v>81</v>
      </c>
      <c r="E64" s="108">
        <v>1</v>
      </c>
      <c r="F64" s="7">
        <f>10271.78/1000</f>
        <v>10.271780000000001</v>
      </c>
      <c r="G64" s="106">
        <v>0</v>
      </c>
      <c r="H64" s="106">
        <v>0</v>
      </c>
      <c r="I64" s="10" t="str">
        <f t="shared" si="19"/>
        <v>Середовище культуральне ORIGIO Sequential Fert, 10 ml, паков</v>
      </c>
      <c r="J64" s="79">
        <f>F64-K64</f>
        <v>3.2427800000000016</v>
      </c>
      <c r="K64" s="55">
        <v>7.0289999999999999</v>
      </c>
    </row>
    <row r="65" spans="1:19" s="19" customFormat="1" ht="44.25" customHeight="1" x14ac:dyDescent="0.25">
      <c r="A65" s="254"/>
      <c r="B65" s="264" t="s">
        <v>77</v>
      </c>
      <c r="C65" s="253"/>
      <c r="D65" s="253"/>
      <c r="E65" s="253"/>
      <c r="F65" s="32">
        <f>F66+F67</f>
        <v>22.30799</v>
      </c>
      <c r="G65" s="253" t="s">
        <v>77</v>
      </c>
      <c r="H65" s="253"/>
      <c r="I65" s="253"/>
      <c r="J65" s="137">
        <f t="shared" ref="J65:J71" si="22">F65-K65</f>
        <v>0</v>
      </c>
      <c r="K65" s="55">
        <f>SUM(K66:K67)</f>
        <v>22.30799</v>
      </c>
    </row>
    <row r="66" spans="1:19" s="19" customFormat="1" ht="32.25" customHeight="1" x14ac:dyDescent="0.25">
      <c r="A66" s="254"/>
      <c r="B66" s="118">
        <v>0</v>
      </c>
      <c r="C66" s="7">
        <f>F64:F66</f>
        <v>8.58</v>
      </c>
      <c r="D66" s="10" t="s">
        <v>88</v>
      </c>
      <c r="E66" s="9">
        <v>1</v>
      </c>
      <c r="F66" s="7">
        <f>8580/1000</f>
        <v>8.58</v>
      </c>
      <c r="G66" s="106">
        <v>0</v>
      </c>
      <c r="H66" s="106">
        <v>0</v>
      </c>
      <c r="I66" s="10" t="str">
        <f t="shared" si="19"/>
        <v>205 Середовища для розморожування (14,4 мл), шт</v>
      </c>
      <c r="J66" s="79">
        <f t="shared" si="22"/>
        <v>0</v>
      </c>
      <c r="K66" s="55">
        <f>F66</f>
        <v>8.58</v>
      </c>
    </row>
    <row r="67" spans="1:19" s="19" customFormat="1" ht="32.25" customHeight="1" x14ac:dyDescent="0.25">
      <c r="A67" s="254"/>
      <c r="B67" s="118">
        <v>0</v>
      </c>
      <c r="C67" s="7">
        <f t="shared" si="21"/>
        <v>13.72799</v>
      </c>
      <c r="D67" s="10" t="s">
        <v>95</v>
      </c>
      <c r="E67" s="9">
        <v>2</v>
      </c>
      <c r="F67" s="7">
        <f>13727.99/1000</f>
        <v>13.72799</v>
      </c>
      <c r="G67" s="106">
        <v>0</v>
      </c>
      <c r="H67" s="106">
        <v>0</v>
      </c>
      <c r="I67" s="10" t="str">
        <f t="shared" si="19"/>
        <v>CR Соломини для вітрифікації (заморожування) Cryotec (10 од/уп), паков</v>
      </c>
      <c r="J67" s="79">
        <f t="shared" si="22"/>
        <v>0</v>
      </c>
      <c r="K67" s="55">
        <f>F67</f>
        <v>13.72799</v>
      </c>
    </row>
    <row r="68" spans="1:19" s="19" customFormat="1" ht="33" customHeight="1" x14ac:dyDescent="0.25">
      <c r="A68" s="254"/>
      <c r="B68" s="264" t="s">
        <v>77</v>
      </c>
      <c r="C68" s="253"/>
      <c r="D68" s="253"/>
      <c r="E68" s="253"/>
      <c r="F68" s="32">
        <f>F69</f>
        <v>7.92</v>
      </c>
      <c r="G68" s="253" t="s">
        <v>77</v>
      </c>
      <c r="H68" s="253"/>
      <c r="I68" s="253"/>
      <c r="J68" s="137">
        <f t="shared" si="22"/>
        <v>0</v>
      </c>
      <c r="K68" s="55">
        <f>SUM(K69)</f>
        <v>7.92</v>
      </c>
    </row>
    <row r="69" spans="1:19" s="19" customFormat="1" ht="46.8" x14ac:dyDescent="0.25">
      <c r="A69" s="254"/>
      <c r="B69" s="118">
        <v>0</v>
      </c>
      <c r="C69" s="7">
        <f>F67:F69</f>
        <v>7.92</v>
      </c>
      <c r="D69" s="17" t="s">
        <v>96</v>
      </c>
      <c r="E69" s="110">
        <v>1</v>
      </c>
      <c r="F69" s="7">
        <f>7920/1000</f>
        <v>7.92</v>
      </c>
      <c r="G69" s="106">
        <v>0</v>
      </c>
      <c r="H69" s="106">
        <v>0</v>
      </c>
      <c r="I69" s="10" t="str">
        <f t="shared" si="19"/>
        <v>SIC-50W-35 Інжекторні мікропіпетки для проведення ІКСІ ID:5,0 мм/35° (10 од/уп)</v>
      </c>
      <c r="J69" s="79">
        <f t="shared" si="22"/>
        <v>0</v>
      </c>
      <c r="K69" s="55">
        <f>F69</f>
        <v>7.92</v>
      </c>
    </row>
    <row r="70" spans="1:19" s="19" customFormat="1" ht="33" customHeight="1" x14ac:dyDescent="0.25">
      <c r="A70" s="254"/>
      <c r="B70" s="264" t="s">
        <v>77</v>
      </c>
      <c r="C70" s="253"/>
      <c r="D70" s="253"/>
      <c r="E70" s="253"/>
      <c r="F70" s="32">
        <f>F71+F72+F73</f>
        <v>39.693490000000004</v>
      </c>
      <c r="G70" s="253" t="s">
        <v>77</v>
      </c>
      <c r="H70" s="253"/>
      <c r="I70" s="253"/>
      <c r="J70" s="137">
        <f t="shared" si="22"/>
        <v>0</v>
      </c>
      <c r="K70" s="55">
        <f>SUM(K71:K73)</f>
        <v>39.693490000000004</v>
      </c>
    </row>
    <row r="71" spans="1:19" ht="52.5" customHeight="1" x14ac:dyDescent="0.25">
      <c r="A71" s="254"/>
      <c r="B71" s="118">
        <v>0</v>
      </c>
      <c r="C71" s="7">
        <f>F69:F71</f>
        <v>8.1177899999999994</v>
      </c>
      <c r="D71" s="17" t="s">
        <v>97</v>
      </c>
      <c r="E71" s="110">
        <v>1</v>
      </c>
      <c r="F71" s="7">
        <f>8117.79/1000</f>
        <v>8.1177899999999994</v>
      </c>
      <c r="G71" s="106">
        <v>0</v>
      </c>
      <c r="H71" s="106">
        <v>0</v>
      </c>
      <c r="I71" s="10" t="str">
        <f t="shared" si="19"/>
        <v>K-FPIP-1300-10BS-5 Піпетки для денудації 300 мікрон 5 туб по 10 піпеток (50од./уп.), паков</v>
      </c>
      <c r="J71" s="79">
        <f t="shared" si="22"/>
        <v>0</v>
      </c>
      <c r="K71" s="55">
        <f>F71</f>
        <v>8.1177899999999994</v>
      </c>
    </row>
    <row r="72" spans="1:19" ht="52.5" customHeight="1" x14ac:dyDescent="0.3">
      <c r="A72" s="254"/>
      <c r="B72" s="118">
        <v>0</v>
      </c>
      <c r="C72" s="7">
        <f t="shared" si="21"/>
        <v>10.38114</v>
      </c>
      <c r="D72" s="17" t="s">
        <v>92</v>
      </c>
      <c r="E72" s="110">
        <v>10</v>
      </c>
      <c r="F72" s="7">
        <f>10381.14/1000</f>
        <v>10.38114</v>
      </c>
      <c r="G72" s="106">
        <v>0</v>
      </c>
      <c r="H72" s="106">
        <v>0</v>
      </c>
      <c r="I72" s="10" t="str">
        <f t="shared" si="19"/>
        <v>K-JETS-7019 Вигнутий катетер для переносу ембріонів, трансферний катетер 2.8Fr-24cm та навігаційний катетер 6.6Fr-17.3cm, шт</v>
      </c>
      <c r="J72" s="79">
        <f>F72-K72</f>
        <v>0</v>
      </c>
      <c r="K72" s="55">
        <f>F72</f>
        <v>10.38114</v>
      </c>
      <c r="N72" s="61"/>
      <c r="O72" s="61"/>
      <c r="P72" s="61"/>
      <c r="Q72" s="61"/>
      <c r="R72" s="61"/>
    </row>
    <row r="73" spans="1:19" ht="52.5" customHeight="1" thickBot="1" x14ac:dyDescent="0.3">
      <c r="A73" s="255"/>
      <c r="B73" s="120">
        <v>0</v>
      </c>
      <c r="C73" s="20">
        <f t="shared" si="21"/>
        <v>21.194560000000003</v>
      </c>
      <c r="D73" s="21" t="s">
        <v>98</v>
      </c>
      <c r="E73" s="111">
        <v>20</v>
      </c>
      <c r="F73" s="20">
        <f>21194.56/1000</f>
        <v>21.194560000000003</v>
      </c>
      <c r="G73" s="115">
        <v>0</v>
      </c>
      <c r="H73" s="115">
        <v>0</v>
      </c>
      <c r="I73" s="22" t="str">
        <f t="shared" si="19"/>
        <v>K-OSN-1730-B-90 Однопросвітна голка для забору ооцитів 17g 30cm з ЕСНО типом, аспіраційна лінія 90см, шт.</v>
      </c>
      <c r="J73" s="81">
        <f>F73-K73</f>
        <v>0</v>
      </c>
      <c r="K73" s="54">
        <f>F73</f>
        <v>21.194560000000003</v>
      </c>
    </row>
    <row r="74" spans="1:19" s="6" customFormat="1" ht="39" customHeight="1" x14ac:dyDescent="0.3">
      <c r="A74" s="261" t="s">
        <v>216</v>
      </c>
      <c r="B74" s="220" t="s">
        <v>99</v>
      </c>
      <c r="C74" s="221"/>
      <c r="D74" s="221"/>
      <c r="E74" s="221"/>
      <c r="F74" s="23">
        <f>F75+F76</f>
        <v>5.9976000000000003</v>
      </c>
      <c r="G74" s="221" t="s">
        <v>99</v>
      </c>
      <c r="H74" s="221"/>
      <c r="I74" s="221"/>
      <c r="J74" s="82">
        <f>J75+J76</f>
        <v>5.9976000000000003</v>
      </c>
      <c r="K74" s="59">
        <f>SUM(K75:K76)</f>
        <v>0</v>
      </c>
      <c r="L74" s="61"/>
      <c r="M74" s="61"/>
      <c r="N74" s="19"/>
      <c r="O74" s="19"/>
      <c r="P74" s="19"/>
      <c r="Q74" s="19"/>
      <c r="R74" s="19"/>
      <c r="S74" s="61"/>
    </row>
    <row r="75" spans="1:19" ht="30" customHeight="1" x14ac:dyDescent="0.25">
      <c r="A75" s="254"/>
      <c r="B75" s="118">
        <v>0</v>
      </c>
      <c r="C75" s="7">
        <f t="shared" ref="C75:C76" si="23">F74:F75</f>
        <v>2.9988000000000001</v>
      </c>
      <c r="D75" s="17" t="s">
        <v>100</v>
      </c>
      <c r="E75" s="110">
        <v>170</v>
      </c>
      <c r="F75" s="7">
        <f>2998.8/1000</f>
        <v>2.9988000000000001</v>
      </c>
      <c r="G75" s="106">
        <v>0</v>
      </c>
      <c r="H75" s="106">
        <v>0</v>
      </c>
      <c r="I75" s="10" t="str">
        <f t="shared" ref="I75:I76" si="24">D75</f>
        <v>Батон нарізний молочний</v>
      </c>
      <c r="J75" s="79">
        <f t="shared" ref="J75:J76" si="25">F75</f>
        <v>2.9988000000000001</v>
      </c>
      <c r="K75" s="55">
        <v>0</v>
      </c>
      <c r="N75" s="63"/>
      <c r="O75" s="63"/>
      <c r="P75" s="63"/>
      <c r="Q75" s="63"/>
      <c r="R75" s="63"/>
    </row>
    <row r="76" spans="1:19" ht="30" customHeight="1" thickBot="1" x14ac:dyDescent="0.3">
      <c r="A76" s="254"/>
      <c r="B76" s="120">
        <v>0</v>
      </c>
      <c r="C76" s="20">
        <f t="shared" si="23"/>
        <v>2.9988000000000001</v>
      </c>
      <c r="D76" s="21" t="s">
        <v>101</v>
      </c>
      <c r="E76" s="111">
        <v>170</v>
      </c>
      <c r="F76" s="20">
        <f>2998.8/1000</f>
        <v>2.9988000000000001</v>
      </c>
      <c r="G76" s="115">
        <v>0</v>
      </c>
      <c r="H76" s="115">
        <v>0</v>
      </c>
      <c r="I76" s="22" t="str">
        <f t="shared" si="24"/>
        <v>Хліб "Гусарик"</v>
      </c>
      <c r="J76" s="81">
        <f t="shared" si="25"/>
        <v>2.9988000000000001</v>
      </c>
      <c r="K76" s="54">
        <v>0</v>
      </c>
    </row>
    <row r="77" spans="1:19" s="6" customFormat="1" ht="40.5" customHeight="1" x14ac:dyDescent="0.3">
      <c r="A77" s="254"/>
      <c r="B77" s="256" t="s">
        <v>102</v>
      </c>
      <c r="C77" s="257"/>
      <c r="D77" s="257"/>
      <c r="E77" s="112"/>
      <c r="F77" s="37">
        <f>F78+F79+F80+F81+F82+F83+F84+F85+F86+F87+F88+F90+F89</f>
        <v>67.34899999999999</v>
      </c>
      <c r="G77" s="257" t="s">
        <v>102</v>
      </c>
      <c r="H77" s="257"/>
      <c r="I77" s="257"/>
      <c r="J77" s="95">
        <f>J78+J79+J80+J81+J82+J83+J84+J85+J86+J87+J88+J90+J89</f>
        <v>67.34899999999999</v>
      </c>
      <c r="K77" s="88">
        <v>0</v>
      </c>
      <c r="L77" s="61"/>
      <c r="M77" s="62"/>
      <c r="N77" s="19"/>
      <c r="O77" s="19"/>
      <c r="P77" s="19"/>
      <c r="Q77" s="19"/>
      <c r="R77" s="19"/>
      <c r="S77" s="61"/>
    </row>
    <row r="78" spans="1:19" ht="39.75" customHeight="1" x14ac:dyDescent="0.25">
      <c r="A78" s="254"/>
      <c r="B78" s="118">
        <v>0</v>
      </c>
      <c r="C78" s="7">
        <f t="shared" ref="C78:C93" si="26">F77:F78</f>
        <v>8.2319999999999993</v>
      </c>
      <c r="D78" s="10" t="s">
        <v>103</v>
      </c>
      <c r="E78" s="106">
        <v>1</v>
      </c>
      <c r="F78" s="7">
        <f>8232/1000</f>
        <v>8.2319999999999993</v>
      </c>
      <c r="G78" s="106">
        <v>0</v>
      </c>
      <c r="H78" s="106">
        <v>0</v>
      </c>
      <c r="I78" s="10" t="str">
        <f t="shared" ref="I78:I93" si="27">D78</f>
        <v>Поточний ремонт автомобіля Opel COMBO 1,4</v>
      </c>
      <c r="J78" s="79">
        <f t="shared" ref="J78:J93" si="28">F78</f>
        <v>8.2319999999999993</v>
      </c>
      <c r="K78" s="55">
        <v>0</v>
      </c>
    </row>
    <row r="79" spans="1:19" ht="39.75" customHeight="1" x14ac:dyDescent="0.3">
      <c r="A79" s="254"/>
      <c r="B79" s="118">
        <v>0</v>
      </c>
      <c r="C79" s="7">
        <f t="shared" si="26"/>
        <v>0.63600000000000001</v>
      </c>
      <c r="D79" s="10" t="s">
        <v>104</v>
      </c>
      <c r="E79" s="106">
        <v>1</v>
      </c>
      <c r="F79" s="7">
        <f>636/1000</f>
        <v>0.63600000000000001</v>
      </c>
      <c r="G79" s="106">
        <v>0</v>
      </c>
      <c r="H79" s="106">
        <v>0</v>
      </c>
      <c r="I79" s="10" t="str">
        <f t="shared" si="27"/>
        <v>Послуга з опломбування вузла обліку</v>
      </c>
      <c r="J79" s="79">
        <f t="shared" si="28"/>
        <v>0.63600000000000001</v>
      </c>
      <c r="K79" s="55">
        <v>0</v>
      </c>
      <c r="N79" s="61"/>
      <c r="O79" s="61"/>
      <c r="P79" s="61"/>
      <c r="Q79" s="61"/>
      <c r="R79" s="61"/>
    </row>
    <row r="80" spans="1:19" ht="39.75" customHeight="1" x14ac:dyDescent="0.3">
      <c r="A80" s="254"/>
      <c r="B80" s="118">
        <v>0</v>
      </c>
      <c r="C80" s="7">
        <f t="shared" si="26"/>
        <v>2.016</v>
      </c>
      <c r="D80" s="10" t="s">
        <v>105</v>
      </c>
      <c r="E80" s="106">
        <v>1</v>
      </c>
      <c r="F80" s="7">
        <f>2016/1000</f>
        <v>2.016</v>
      </c>
      <c r="G80" s="106">
        <v>0</v>
      </c>
      <c r="H80" s="106">
        <v>0</v>
      </c>
      <c r="I80" s="10" t="str">
        <f t="shared" si="27"/>
        <v>Послуга програмного забеспечення HELSI., 1 послуга за 01.23</v>
      </c>
      <c r="J80" s="79">
        <f t="shared" si="28"/>
        <v>2.016</v>
      </c>
      <c r="K80" s="55">
        <v>0</v>
      </c>
      <c r="N80" s="61"/>
      <c r="O80" s="61"/>
      <c r="P80" s="61"/>
      <c r="Q80" s="61"/>
      <c r="R80" s="61"/>
    </row>
    <row r="81" spans="1:19" ht="39.75" customHeight="1" x14ac:dyDescent="0.3">
      <c r="A81" s="254"/>
      <c r="B81" s="118">
        <v>0</v>
      </c>
      <c r="C81" s="7">
        <f t="shared" si="26"/>
        <v>0.69299999999999995</v>
      </c>
      <c r="D81" s="10" t="s">
        <v>106</v>
      </c>
      <c r="E81" s="106">
        <v>1</v>
      </c>
      <c r="F81" s="7">
        <f>693/1000</f>
        <v>0.69299999999999995</v>
      </c>
      <c r="G81" s="106">
        <v>0</v>
      </c>
      <c r="H81" s="106">
        <v>0</v>
      </c>
      <c r="I81" s="10" t="str">
        <f t="shared" si="27"/>
        <v>Послуги шиномонтажу</v>
      </c>
      <c r="J81" s="79">
        <f t="shared" si="28"/>
        <v>0.69299999999999995</v>
      </c>
      <c r="K81" s="55">
        <v>0</v>
      </c>
      <c r="N81" s="61"/>
      <c r="O81" s="61"/>
      <c r="P81" s="61"/>
      <c r="Q81" s="61"/>
      <c r="R81" s="61"/>
    </row>
    <row r="82" spans="1:19" ht="39.75" customHeight="1" x14ac:dyDescent="0.3">
      <c r="A82" s="254"/>
      <c r="B82" s="118">
        <v>0</v>
      </c>
      <c r="C82" s="7">
        <f t="shared" si="26"/>
        <v>1.619</v>
      </c>
      <c r="D82" s="10" t="s">
        <v>107</v>
      </c>
      <c r="E82" s="106">
        <v>1</v>
      </c>
      <c r="F82" s="7">
        <f>1619/1000</f>
        <v>1.619</v>
      </c>
      <c r="G82" s="106">
        <v>0</v>
      </c>
      <c r="H82" s="106">
        <v>0</v>
      </c>
      <c r="I82" s="10" t="str">
        <f t="shared" si="27"/>
        <v>Страховий платіж згідно Полісу обов'язковогострахування</v>
      </c>
      <c r="J82" s="79">
        <f t="shared" si="28"/>
        <v>1.619</v>
      </c>
      <c r="K82" s="55">
        <v>0</v>
      </c>
      <c r="N82" s="61"/>
      <c r="O82" s="61"/>
      <c r="P82" s="61"/>
      <c r="Q82" s="61"/>
      <c r="R82" s="61"/>
    </row>
    <row r="83" spans="1:19" ht="39.75" customHeight="1" x14ac:dyDescent="0.25">
      <c r="A83" s="254"/>
      <c r="B83" s="118">
        <v>0</v>
      </c>
      <c r="C83" s="7">
        <f t="shared" si="26"/>
        <v>1.85</v>
      </c>
      <c r="D83" s="10" t="s">
        <v>108</v>
      </c>
      <c r="E83" s="106">
        <v>1</v>
      </c>
      <c r="F83" s="7">
        <f>1850/1000</f>
        <v>1.85</v>
      </c>
      <c r="G83" s="106">
        <v>0</v>
      </c>
      <c r="H83" s="106">
        <v>0</v>
      </c>
      <c r="I83" s="10" t="str">
        <f t="shared" si="27"/>
        <v>Технічне обслуговування та ремонт транспорту</v>
      </c>
      <c r="J83" s="79">
        <f t="shared" si="28"/>
        <v>1.85</v>
      </c>
      <c r="K83" s="55">
        <v>0</v>
      </c>
    </row>
    <row r="84" spans="1:19" ht="39.75" customHeight="1" x14ac:dyDescent="0.25">
      <c r="A84" s="254"/>
      <c r="B84" s="118">
        <v>0</v>
      </c>
      <c r="C84" s="7">
        <f t="shared" si="26"/>
        <v>3.6520000000000001</v>
      </c>
      <c r="D84" s="10" t="s">
        <v>108</v>
      </c>
      <c r="E84" s="106">
        <v>1</v>
      </c>
      <c r="F84" s="7">
        <f>3652/1000</f>
        <v>3.6520000000000001</v>
      </c>
      <c r="G84" s="106">
        <v>0</v>
      </c>
      <c r="H84" s="106">
        <v>0</v>
      </c>
      <c r="I84" s="10" t="str">
        <f t="shared" si="27"/>
        <v>Технічне обслуговування та ремонт транспорту</v>
      </c>
      <c r="J84" s="79">
        <f t="shared" si="28"/>
        <v>3.6520000000000001</v>
      </c>
      <c r="K84" s="55">
        <v>0</v>
      </c>
    </row>
    <row r="85" spans="1:19" ht="39.75" customHeight="1" x14ac:dyDescent="0.25">
      <c r="A85" s="254"/>
      <c r="B85" s="118">
        <v>0</v>
      </c>
      <c r="C85" s="7">
        <f t="shared" si="26"/>
        <v>5</v>
      </c>
      <c r="D85" s="10" t="s">
        <v>109</v>
      </c>
      <c r="E85" s="106">
        <v>1</v>
      </c>
      <c r="F85" s="7">
        <f>5000/1000</f>
        <v>5</v>
      </c>
      <c r="G85" s="106">
        <v>0</v>
      </c>
      <c r="H85" s="106">
        <v>0</v>
      </c>
      <c r="I85" s="10" t="str">
        <f t="shared" si="27"/>
        <v>Інженерні послуги (екологічна експертиза)</v>
      </c>
      <c r="J85" s="79">
        <f t="shared" si="28"/>
        <v>5</v>
      </c>
      <c r="K85" s="55">
        <v>0</v>
      </c>
    </row>
    <row r="86" spans="1:19" ht="39.75" customHeight="1" x14ac:dyDescent="0.25">
      <c r="A86" s="254"/>
      <c r="B86" s="118">
        <v>0</v>
      </c>
      <c r="C86" s="7">
        <f t="shared" si="26"/>
        <v>6.89</v>
      </c>
      <c r="D86" s="10" t="s">
        <v>110</v>
      </c>
      <c r="E86" s="106">
        <v>1</v>
      </c>
      <c r="F86" s="7">
        <f>6890/1000</f>
        <v>6.89</v>
      </c>
      <c r="G86" s="106">
        <v>0</v>
      </c>
      <c r="H86" s="106">
        <v>0</v>
      </c>
      <c r="I86" s="10" t="str">
        <f t="shared" si="27"/>
        <v xml:space="preserve">Послуга з ремонту блоку живлення інкубатора </v>
      </c>
      <c r="J86" s="79">
        <f t="shared" si="28"/>
        <v>6.89</v>
      </c>
      <c r="K86" s="55">
        <v>0</v>
      </c>
    </row>
    <row r="87" spans="1:19" ht="39.75" customHeight="1" x14ac:dyDescent="0.25">
      <c r="A87" s="254"/>
      <c r="B87" s="118">
        <v>0</v>
      </c>
      <c r="C87" s="7">
        <f t="shared" si="26"/>
        <v>8</v>
      </c>
      <c r="D87" s="10" t="s">
        <v>111</v>
      </c>
      <c r="E87" s="106">
        <v>1</v>
      </c>
      <c r="F87" s="7">
        <f>8000/1000</f>
        <v>8</v>
      </c>
      <c r="G87" s="106">
        <v>0</v>
      </c>
      <c r="H87" s="106">
        <v>0</v>
      </c>
      <c r="I87" s="10" t="str">
        <f t="shared" si="27"/>
        <v>Послуги з обслуговування мережі інтернет</v>
      </c>
      <c r="J87" s="79">
        <f t="shared" si="28"/>
        <v>8</v>
      </c>
      <c r="K87" s="55">
        <v>0</v>
      </c>
    </row>
    <row r="88" spans="1:19" ht="39.75" customHeight="1" x14ac:dyDescent="0.25">
      <c r="A88" s="254"/>
      <c r="B88" s="118">
        <v>0</v>
      </c>
      <c r="C88" s="7">
        <f t="shared" si="26"/>
        <v>19.991</v>
      </c>
      <c r="D88" s="10" t="s">
        <v>112</v>
      </c>
      <c r="E88" s="106">
        <v>1</v>
      </c>
      <c r="F88" s="7">
        <f>19991/1000</f>
        <v>19.991</v>
      </c>
      <c r="G88" s="106">
        <v>0</v>
      </c>
      <c r="H88" s="106">
        <v>0</v>
      </c>
      <c r="I88" s="10" t="str">
        <f t="shared" si="27"/>
        <v>Послуги з ремонту та технічного обслуговування медицинського та хірургічного обладнання</v>
      </c>
      <c r="J88" s="79">
        <f t="shared" si="28"/>
        <v>19.991</v>
      </c>
      <c r="K88" s="55">
        <v>0</v>
      </c>
    </row>
    <row r="89" spans="1:19" ht="39.75" customHeight="1" x14ac:dyDescent="0.25">
      <c r="A89" s="254"/>
      <c r="B89" s="119">
        <v>0</v>
      </c>
      <c r="C89" s="13">
        <f t="shared" si="26"/>
        <v>6.22</v>
      </c>
      <c r="D89" s="25" t="s">
        <v>113</v>
      </c>
      <c r="E89" s="113">
        <v>1</v>
      </c>
      <c r="F89" s="26">
        <f>6220/1000</f>
        <v>6.22</v>
      </c>
      <c r="G89" s="106">
        <v>0</v>
      </c>
      <c r="H89" s="106">
        <v>0</v>
      </c>
      <c r="I89" s="10" t="str">
        <f t="shared" si="27"/>
        <v>Поточний ремонт автомобіля  OPEL Combo</v>
      </c>
      <c r="J89" s="79">
        <f t="shared" si="28"/>
        <v>6.22</v>
      </c>
      <c r="K89" s="55">
        <v>0</v>
      </c>
    </row>
    <row r="90" spans="1:19" ht="39.75" customHeight="1" thickBot="1" x14ac:dyDescent="0.3">
      <c r="A90" s="254"/>
      <c r="B90" s="119">
        <v>0</v>
      </c>
      <c r="C90" s="13">
        <f t="shared" ref="C90" si="29">F88:F90</f>
        <v>2.5499999999999998</v>
      </c>
      <c r="D90" s="25" t="s">
        <v>114</v>
      </c>
      <c r="E90" s="113">
        <v>1</v>
      </c>
      <c r="F90" s="13">
        <f>2550/1000</f>
        <v>2.5499999999999998</v>
      </c>
      <c r="G90" s="107">
        <v>0</v>
      </c>
      <c r="H90" s="107">
        <v>0</v>
      </c>
      <c r="I90" s="14" t="str">
        <f t="shared" si="27"/>
        <v xml:space="preserve">Оплата послуг  з надання доступу до онлайн сервісів Helsi  за лютий </v>
      </c>
      <c r="J90" s="83">
        <f t="shared" si="28"/>
        <v>2.5499999999999998</v>
      </c>
      <c r="K90" s="89">
        <v>0</v>
      </c>
    </row>
    <row r="91" spans="1:19" s="6" customFormat="1" ht="51" customHeight="1" x14ac:dyDescent="0.3">
      <c r="A91" s="254"/>
      <c r="B91" s="248" t="s">
        <v>115</v>
      </c>
      <c r="C91" s="249"/>
      <c r="D91" s="249"/>
      <c r="E91" s="250"/>
      <c r="F91" s="23">
        <f>F92+F93</f>
        <v>13.399999999999999</v>
      </c>
      <c r="G91" s="258" t="s">
        <v>115</v>
      </c>
      <c r="H91" s="259"/>
      <c r="I91" s="260"/>
      <c r="J91" s="84">
        <f>J92+J93</f>
        <v>13.399999999999999</v>
      </c>
      <c r="K91" s="59">
        <v>0</v>
      </c>
      <c r="L91" s="61"/>
      <c r="M91" s="61"/>
      <c r="N91" s="19"/>
      <c r="O91" s="19"/>
      <c r="P91" s="19"/>
      <c r="Q91" s="19"/>
      <c r="R91" s="19"/>
      <c r="S91" s="61"/>
    </row>
    <row r="92" spans="1:19" ht="29.25" customHeight="1" x14ac:dyDescent="0.25">
      <c r="A92" s="254"/>
      <c r="B92" s="118">
        <v>0</v>
      </c>
      <c r="C92" s="7">
        <f>F88:F92</f>
        <v>9.6</v>
      </c>
      <c r="D92" s="10" t="s">
        <v>116</v>
      </c>
      <c r="E92" s="106">
        <v>1</v>
      </c>
      <c r="F92" s="7">
        <f>9600/1000</f>
        <v>9.6</v>
      </c>
      <c r="G92" s="106">
        <v>0</v>
      </c>
      <c r="H92" s="106">
        <v>0</v>
      </c>
      <c r="I92" s="10" t="str">
        <f t="shared" si="27"/>
        <v>Послуга з навчання з охорони праці</v>
      </c>
      <c r="J92" s="79">
        <f t="shared" si="28"/>
        <v>9.6</v>
      </c>
      <c r="K92" s="55">
        <v>0</v>
      </c>
    </row>
    <row r="93" spans="1:19" ht="29.25" customHeight="1" thickBot="1" x14ac:dyDescent="0.3">
      <c r="A93" s="254"/>
      <c r="B93" s="119">
        <v>0</v>
      </c>
      <c r="C93" s="13">
        <f t="shared" si="26"/>
        <v>3.8</v>
      </c>
      <c r="D93" s="14" t="s">
        <v>116</v>
      </c>
      <c r="E93" s="107">
        <v>1</v>
      </c>
      <c r="F93" s="13">
        <f>3800/1000</f>
        <v>3.8</v>
      </c>
      <c r="G93" s="107">
        <v>0</v>
      </c>
      <c r="H93" s="107">
        <v>0</v>
      </c>
      <c r="I93" s="14" t="str">
        <f t="shared" si="27"/>
        <v>Послуга з навчання з охорони праці</v>
      </c>
      <c r="J93" s="83">
        <f t="shared" si="28"/>
        <v>3.8</v>
      </c>
      <c r="K93" s="89">
        <v>0</v>
      </c>
    </row>
    <row r="94" spans="1:19" s="27" customFormat="1" ht="38.25" customHeight="1" x14ac:dyDescent="0.25">
      <c r="A94" s="254"/>
      <c r="B94" s="220" t="s">
        <v>117</v>
      </c>
      <c r="C94" s="221"/>
      <c r="D94" s="221"/>
      <c r="E94" s="221"/>
      <c r="F94" s="24">
        <f>F95+F96+F97</f>
        <v>65.882350000000002</v>
      </c>
      <c r="G94" s="221" t="s">
        <v>117</v>
      </c>
      <c r="H94" s="221"/>
      <c r="I94" s="221"/>
      <c r="J94" s="84">
        <f>J95+J96+J97</f>
        <v>65.882350000000002</v>
      </c>
      <c r="K94" s="59">
        <v>0</v>
      </c>
      <c r="L94" s="63"/>
      <c r="M94" s="63"/>
      <c r="N94" s="19"/>
      <c r="O94" s="19"/>
      <c r="P94" s="19"/>
      <c r="Q94" s="19"/>
      <c r="R94" s="19"/>
      <c r="S94" s="63"/>
    </row>
    <row r="95" spans="1:19" ht="28.5" customHeight="1" x14ac:dyDescent="0.25">
      <c r="A95" s="254"/>
      <c r="B95" s="118">
        <v>0</v>
      </c>
      <c r="C95" s="7">
        <f t="shared" ref="C95:C97" si="30">F94:F95</f>
        <v>31.221349999999997</v>
      </c>
      <c r="D95" s="17" t="s">
        <v>118</v>
      </c>
      <c r="E95" s="114">
        <v>1</v>
      </c>
      <c r="F95" s="28">
        <f>31221.35/1000</f>
        <v>31.221349999999997</v>
      </c>
      <c r="G95" s="106">
        <v>0</v>
      </c>
      <c r="H95" s="106">
        <v>0</v>
      </c>
      <c r="I95" s="10" t="str">
        <f t="shared" ref="I95:I97" si="31">D95</f>
        <v>Модернізація силової проводки всередині будівлі</v>
      </c>
      <c r="J95" s="79">
        <f t="shared" ref="J95:J97" si="32">F95</f>
        <v>31.221349999999997</v>
      </c>
      <c r="K95" s="55">
        <v>0</v>
      </c>
    </row>
    <row r="96" spans="1:19" ht="28.5" customHeight="1" x14ac:dyDescent="0.25">
      <c r="A96" s="254"/>
      <c r="B96" s="118">
        <v>0</v>
      </c>
      <c r="C96" s="7">
        <f t="shared" si="30"/>
        <v>12.661</v>
      </c>
      <c r="D96" s="17" t="s">
        <v>119</v>
      </c>
      <c r="E96" s="114">
        <v>1</v>
      </c>
      <c r="F96" s="28">
        <f>12661/1000</f>
        <v>12.661</v>
      </c>
      <c r="G96" s="106">
        <v>0</v>
      </c>
      <c r="H96" s="106">
        <v>0</v>
      </c>
      <c r="I96" s="10" t="str">
        <f t="shared" si="31"/>
        <v>Дисектор біполярний</v>
      </c>
      <c r="J96" s="79">
        <f t="shared" si="32"/>
        <v>12.661</v>
      </c>
      <c r="K96" s="55">
        <v>0</v>
      </c>
    </row>
    <row r="97" spans="1:19" ht="28.5" customHeight="1" thickBot="1" x14ac:dyDescent="0.3">
      <c r="A97" s="255"/>
      <c r="B97" s="120">
        <v>0</v>
      </c>
      <c r="C97" s="20">
        <f t="shared" si="30"/>
        <v>22</v>
      </c>
      <c r="D97" s="36" t="s">
        <v>120</v>
      </c>
      <c r="E97" s="147">
        <v>1</v>
      </c>
      <c r="F97" s="90">
        <f>22000/1000</f>
        <v>22</v>
      </c>
      <c r="G97" s="115">
        <v>0</v>
      </c>
      <c r="H97" s="115">
        <v>0</v>
      </c>
      <c r="I97" s="22" t="str">
        <f t="shared" si="31"/>
        <v>Ноутбук ASUS 515</v>
      </c>
      <c r="J97" s="81">
        <f t="shared" si="32"/>
        <v>22</v>
      </c>
      <c r="K97" s="54">
        <v>0</v>
      </c>
    </row>
    <row r="98" spans="1:19" s="6" customFormat="1" ht="26.25" customHeight="1" x14ac:dyDescent="0.3">
      <c r="A98" s="242" t="s">
        <v>121</v>
      </c>
      <c r="B98" s="220" t="s">
        <v>122</v>
      </c>
      <c r="C98" s="221"/>
      <c r="D98" s="221"/>
      <c r="E98" s="221"/>
      <c r="F98" s="30">
        <f>F99+F100+F101</f>
        <v>5.0000000000000001E-3</v>
      </c>
      <c r="G98" s="221" t="s">
        <v>122</v>
      </c>
      <c r="H98" s="221"/>
      <c r="I98" s="221"/>
      <c r="J98" s="159">
        <f>J99+J100+J101</f>
        <v>5.0000000000000001E-3</v>
      </c>
      <c r="K98" s="59">
        <v>0</v>
      </c>
      <c r="L98" s="61"/>
      <c r="M98" s="64"/>
      <c r="N98" s="19"/>
      <c r="O98" s="19"/>
      <c r="P98" s="19"/>
      <c r="Q98" s="19"/>
      <c r="R98" s="19"/>
      <c r="S98" s="61"/>
    </row>
    <row r="99" spans="1:19" s="6" customFormat="1" ht="25.5" customHeight="1" x14ac:dyDescent="0.3">
      <c r="A99" s="243"/>
      <c r="B99" s="118">
        <v>0</v>
      </c>
      <c r="C99" s="12">
        <f t="shared" ref="C99:C101" si="33">F98:F99</f>
        <v>1E-3</v>
      </c>
      <c r="D99" s="31" t="s">
        <v>123</v>
      </c>
      <c r="E99" s="106">
        <v>1</v>
      </c>
      <c r="F99" s="12">
        <f>1/1000</f>
        <v>1E-3</v>
      </c>
      <c r="G99" s="106">
        <v>0</v>
      </c>
      <c r="H99" s="106">
        <v>0</v>
      </c>
      <c r="I99" s="31" t="str">
        <f t="shared" ref="I99:I101" si="34">D99</f>
        <v>Монітор пацієнта М-50</v>
      </c>
      <c r="J99" s="67">
        <f t="shared" ref="J99:J101" si="35">F99</f>
        <v>1E-3</v>
      </c>
      <c r="K99" s="55">
        <v>0</v>
      </c>
      <c r="L99" s="61"/>
      <c r="M99" s="61"/>
      <c r="N99" s="19"/>
      <c r="O99" s="19"/>
      <c r="P99" s="19"/>
      <c r="Q99" s="19"/>
      <c r="R99" s="19"/>
      <c r="S99" s="61"/>
    </row>
    <row r="100" spans="1:19" s="6" customFormat="1" ht="25.5" customHeight="1" x14ac:dyDescent="0.3">
      <c r="A100" s="243"/>
      <c r="B100" s="118">
        <v>0</v>
      </c>
      <c r="C100" s="12">
        <f t="shared" si="33"/>
        <v>1E-3</v>
      </c>
      <c r="D100" s="31" t="s">
        <v>124</v>
      </c>
      <c r="E100" s="106">
        <v>1</v>
      </c>
      <c r="F100" s="12">
        <f>1/1000</f>
        <v>1E-3</v>
      </c>
      <c r="G100" s="106">
        <v>0</v>
      </c>
      <c r="H100" s="106">
        <v>0</v>
      </c>
      <c r="I100" s="31" t="str">
        <f t="shared" si="34"/>
        <v>Монітор пацієнта М-40</v>
      </c>
      <c r="J100" s="67">
        <f t="shared" si="35"/>
        <v>1E-3</v>
      </c>
      <c r="K100" s="55">
        <v>0</v>
      </c>
      <c r="L100" s="61"/>
      <c r="M100" s="61"/>
      <c r="N100" s="19"/>
      <c r="O100" s="19"/>
      <c r="P100" s="19"/>
      <c r="Q100" s="19"/>
      <c r="R100" s="19"/>
      <c r="S100" s="61"/>
    </row>
    <row r="101" spans="1:19" s="6" customFormat="1" ht="25.5" customHeight="1" thickBot="1" x14ac:dyDescent="0.35">
      <c r="A101" s="243"/>
      <c r="B101" s="120">
        <v>0</v>
      </c>
      <c r="C101" s="94">
        <f t="shared" si="33"/>
        <v>3.0000000000000001E-3</v>
      </c>
      <c r="D101" s="93" t="s">
        <v>125</v>
      </c>
      <c r="E101" s="115">
        <v>3</v>
      </c>
      <c r="F101" s="94">
        <f>3/1000</f>
        <v>3.0000000000000001E-3</v>
      </c>
      <c r="G101" s="115">
        <v>0</v>
      </c>
      <c r="H101" s="115">
        <v>0</v>
      </c>
      <c r="I101" s="93" t="str">
        <f t="shared" si="34"/>
        <v>Інфузійний об'ємний насос</v>
      </c>
      <c r="J101" s="96">
        <f t="shared" si="35"/>
        <v>3.0000000000000001E-3</v>
      </c>
      <c r="K101" s="54">
        <v>0</v>
      </c>
      <c r="L101" s="61"/>
      <c r="M101" s="61"/>
      <c r="N101" s="19"/>
      <c r="O101" s="19"/>
      <c r="P101" s="19"/>
      <c r="Q101" s="19"/>
      <c r="R101" s="19"/>
      <c r="S101" s="61"/>
    </row>
    <row r="102" spans="1:19" ht="25.5" customHeight="1" x14ac:dyDescent="0.25">
      <c r="A102" s="243"/>
      <c r="B102" s="240" t="s">
        <v>76</v>
      </c>
      <c r="C102" s="241"/>
      <c r="D102" s="241"/>
      <c r="E102" s="241"/>
      <c r="F102" s="91">
        <f>F103+F126</f>
        <v>228.970144</v>
      </c>
      <c r="G102" s="241" t="s">
        <v>76</v>
      </c>
      <c r="H102" s="241"/>
      <c r="I102" s="241"/>
      <c r="J102" s="97">
        <f>J103+J126</f>
        <v>42.009600000000013</v>
      </c>
      <c r="K102" s="92">
        <f>K103+K126</f>
        <v>186.96054399999997</v>
      </c>
    </row>
    <row r="103" spans="1:19" s="19" customFormat="1" ht="34.5" customHeight="1" x14ac:dyDescent="0.25">
      <c r="A103" s="243"/>
      <c r="B103" s="251" t="s">
        <v>77</v>
      </c>
      <c r="C103" s="252"/>
      <c r="D103" s="252"/>
      <c r="E103" s="252"/>
      <c r="F103" s="32">
        <f>F104+F105+F106+F107+F108+F109+F110+F111+F112+F113+F114+F115+F116+F117+F118+F119+F120+F121+F122+F123+F124+F125</f>
        <v>81.553599999999975</v>
      </c>
      <c r="G103" s="252" t="s">
        <v>77</v>
      </c>
      <c r="H103" s="252"/>
      <c r="I103" s="252"/>
      <c r="J103" s="85">
        <f>J104+J105+J106+J107+J108+J109+J110+J111+J112+J113+J114+J115+J116+J117+J118+J119+J120+J121+J122+J123+J124+J125</f>
        <v>2.9030000000000031</v>
      </c>
      <c r="K103" s="55">
        <f>SUM(K104:K125)</f>
        <v>78.650599999999997</v>
      </c>
    </row>
    <row r="104" spans="1:19" s="19" customFormat="1" ht="34.5" customHeight="1" x14ac:dyDescent="0.25">
      <c r="A104" s="243"/>
      <c r="B104" s="118">
        <v>0</v>
      </c>
      <c r="C104" s="7">
        <f>F102:F104</f>
        <v>0.2</v>
      </c>
      <c r="D104" s="17" t="s">
        <v>126</v>
      </c>
      <c r="E104" s="39">
        <v>200</v>
      </c>
      <c r="F104" s="7">
        <f>200/1000</f>
        <v>0.2</v>
      </c>
      <c r="G104" s="106">
        <v>0</v>
      </c>
      <c r="H104" s="106">
        <v>0</v>
      </c>
      <c r="I104" s="10" t="str">
        <f t="shared" ref="I104:I125" si="36">D104</f>
        <v>Окскарбазепін 600 мг, табл.</v>
      </c>
      <c r="J104" s="71">
        <f t="shared" ref="J104:J164" si="37">F104-K104</f>
        <v>0</v>
      </c>
      <c r="K104" s="55">
        <v>0.2</v>
      </c>
    </row>
    <row r="105" spans="1:19" s="19" customFormat="1" ht="34.5" customHeight="1" x14ac:dyDescent="0.25">
      <c r="A105" s="243"/>
      <c r="B105" s="118">
        <v>0</v>
      </c>
      <c r="C105" s="7">
        <f t="shared" ref="C105:C125" si="38">F104:F105</f>
        <v>0.06</v>
      </c>
      <c r="D105" s="17" t="s">
        <v>127</v>
      </c>
      <c r="E105" s="39">
        <v>60</v>
      </c>
      <c r="F105" s="7">
        <f>60/1000</f>
        <v>0.06</v>
      </c>
      <c r="G105" s="106">
        <v>0</v>
      </c>
      <c r="H105" s="106">
        <v>0</v>
      </c>
      <c r="I105" s="10" t="str">
        <f t="shared" si="36"/>
        <v>Ібупрофен 20 мг/мл 200мл, флакон</v>
      </c>
      <c r="J105" s="71">
        <f t="shared" si="37"/>
        <v>4.9999999999999996E-2</v>
      </c>
      <c r="K105" s="55">
        <v>0.01</v>
      </c>
    </row>
    <row r="106" spans="1:19" s="19" customFormat="1" ht="34.5" customHeight="1" x14ac:dyDescent="0.25">
      <c r="A106" s="243"/>
      <c r="B106" s="118">
        <v>0</v>
      </c>
      <c r="C106" s="7">
        <f t="shared" si="38"/>
        <v>4.8000000000000001E-2</v>
      </c>
      <c r="D106" s="17" t="s">
        <v>128</v>
      </c>
      <c r="E106" s="39">
        <v>48</v>
      </c>
      <c r="F106" s="12">
        <f>48/1000</f>
        <v>4.8000000000000001E-2</v>
      </c>
      <c r="G106" s="106">
        <v>0</v>
      </c>
      <c r="H106" s="106">
        <v>0</v>
      </c>
      <c r="I106" s="10" t="str">
        <f t="shared" si="36"/>
        <v>Дексаметазон 1мл, амп.</v>
      </c>
      <c r="J106" s="71">
        <f t="shared" si="37"/>
        <v>4.8000000000000001E-2</v>
      </c>
      <c r="K106" s="55">
        <v>0</v>
      </c>
    </row>
    <row r="107" spans="1:19" s="19" customFormat="1" ht="52.5" customHeight="1" x14ac:dyDescent="0.25">
      <c r="A107" s="243"/>
      <c r="B107" s="118">
        <v>0</v>
      </c>
      <c r="C107" s="12">
        <f t="shared" si="38"/>
        <v>7.0000000000000001E-3</v>
      </c>
      <c r="D107" s="17" t="s">
        <v>129</v>
      </c>
      <c r="E107" s="39">
        <v>7</v>
      </c>
      <c r="F107" s="12">
        <f>7/1000</f>
        <v>7.0000000000000001E-3</v>
      </c>
      <c r="G107" s="106">
        <v>0</v>
      </c>
      <c r="H107" s="106">
        <v>0</v>
      </c>
      <c r="I107" s="10" t="str">
        <f t="shared" si="36"/>
        <v>Витратні матеріали/ Pipette micro tips 2x10x96 100-1000 мкл, п/а (кінцевик блакитний 100-1000 мкл), короб</v>
      </c>
      <c r="J107" s="67">
        <f>F107-K107</f>
        <v>0</v>
      </c>
      <c r="K107" s="68">
        <f>F107</f>
        <v>7.0000000000000001E-3</v>
      </c>
    </row>
    <row r="108" spans="1:19" s="19" customFormat="1" ht="52.5" customHeight="1" x14ac:dyDescent="0.25">
      <c r="A108" s="243"/>
      <c r="B108" s="118">
        <v>0</v>
      </c>
      <c r="C108" s="12">
        <f t="shared" si="38"/>
        <v>0.01</v>
      </c>
      <c r="D108" s="17" t="s">
        <v>130</v>
      </c>
      <c r="E108" s="39">
        <v>10</v>
      </c>
      <c r="F108" s="12">
        <f>10/1000</f>
        <v>0.01</v>
      </c>
      <c r="G108" s="106">
        <v>0</v>
      </c>
      <c r="H108" s="106">
        <v>0</v>
      </c>
      <c r="I108" s="10" t="str">
        <f t="shared" si="36"/>
        <v>Набір медикаментів та витратних матеріалів / RHKIT8 EMERGENCY REPRODUCTIVE HEALTH (1 комплект – 4 коробки) MPL00001298, п/а, компл</v>
      </c>
      <c r="J108" s="67">
        <f t="shared" si="37"/>
        <v>1.0000000000000009E-3</v>
      </c>
      <c r="K108" s="68">
        <v>8.9999999999999993E-3</v>
      </c>
    </row>
    <row r="109" spans="1:19" s="19" customFormat="1" ht="52.5" customHeight="1" x14ac:dyDescent="0.25">
      <c r="A109" s="243"/>
      <c r="B109" s="118">
        <v>0</v>
      </c>
      <c r="C109" s="12">
        <f t="shared" si="38"/>
        <v>6.0000000000000001E-3</v>
      </c>
      <c r="D109" s="17" t="s">
        <v>131</v>
      </c>
      <c r="E109" s="39">
        <v>6</v>
      </c>
      <c r="F109" s="12">
        <f>6/1000</f>
        <v>6.0000000000000001E-3</v>
      </c>
      <c r="G109" s="106">
        <v>0</v>
      </c>
      <c r="H109" s="106">
        <v>0</v>
      </c>
      <c r="I109" s="10" t="str">
        <f t="shared" si="36"/>
        <v>Набір медикаментів та витратних матеріалів / RHKIT4 EMERGENCY REPRODUCTIVE HEALTH (1 комплект – 1 коробка) MPL00001264, п/а, компл</v>
      </c>
      <c r="J109" s="67">
        <f t="shared" si="37"/>
        <v>1E-3</v>
      </c>
      <c r="K109" s="68">
        <v>5.0000000000000001E-3</v>
      </c>
    </row>
    <row r="110" spans="1:19" s="19" customFormat="1" ht="52.5" customHeight="1" x14ac:dyDescent="0.25">
      <c r="A110" s="243"/>
      <c r="B110" s="118">
        <v>0</v>
      </c>
      <c r="C110" s="12">
        <f t="shared" si="38"/>
        <v>1.4E-2</v>
      </c>
      <c r="D110" s="17" t="s">
        <v>132</v>
      </c>
      <c r="E110" s="39">
        <v>14</v>
      </c>
      <c r="F110" s="12">
        <f>14/1000</f>
        <v>1.4E-2</v>
      </c>
      <c r="G110" s="106">
        <v>0</v>
      </c>
      <c r="H110" s="106">
        <v>0</v>
      </c>
      <c r="I110" s="10" t="str">
        <f t="shared" si="36"/>
        <v>Набір медикаментів та витратних матеріалів / RHKIT5 EMERGENCY REPRODUCTIVE HEALTH (1 комплект – 2 коробки) MPL00001682, п/а, компл</v>
      </c>
      <c r="J110" s="67">
        <f t="shared" si="37"/>
        <v>1.0000000000000009E-3</v>
      </c>
      <c r="K110" s="68">
        <v>1.2999999999999999E-2</v>
      </c>
    </row>
    <row r="111" spans="1:19" s="19" customFormat="1" ht="52.5" customHeight="1" x14ac:dyDescent="0.25">
      <c r="A111" s="243"/>
      <c r="B111" s="118">
        <v>0</v>
      </c>
      <c r="C111" s="12">
        <f t="shared" si="38"/>
        <v>0.01</v>
      </c>
      <c r="D111" s="17" t="s">
        <v>133</v>
      </c>
      <c r="E111" s="39">
        <v>10</v>
      </c>
      <c r="F111" s="12">
        <f>10/1000</f>
        <v>0.01</v>
      </c>
      <c r="G111" s="106">
        <v>0</v>
      </c>
      <c r="H111" s="106">
        <v>0</v>
      </c>
      <c r="I111" s="10" t="str">
        <f t="shared" si="36"/>
        <v>Набір медикаментів та витратних матеріалів / RHKIT6В EMERGENCY REPRODUCTIVE HEALTH (1 комплект – 6 коробок) MPL00001251, п/а, компл</v>
      </c>
      <c r="J111" s="67">
        <f t="shared" si="37"/>
        <v>1.0000000000000009E-3</v>
      </c>
      <c r="K111" s="68">
        <v>8.9999999999999993E-3</v>
      </c>
    </row>
    <row r="112" spans="1:19" s="19" customFormat="1" ht="52.5" customHeight="1" x14ac:dyDescent="0.25">
      <c r="A112" s="243"/>
      <c r="B112" s="118">
        <v>0</v>
      </c>
      <c r="C112" s="7">
        <f t="shared" si="38"/>
        <v>0.34139999999999998</v>
      </c>
      <c r="D112" s="17" t="s">
        <v>134</v>
      </c>
      <c r="E112" s="39">
        <v>30</v>
      </c>
      <c r="F112" s="7">
        <f>341.4/1000</f>
        <v>0.34139999999999998</v>
      </c>
      <c r="G112" s="106">
        <v>0</v>
      </c>
      <c r="H112" s="106">
        <v>0</v>
      </c>
      <c r="I112" s="10" t="str">
        <f t="shared" si="36"/>
        <v>Полівітаміни з іншими мінералами, включаючи комбінації /15g gran., шт.</v>
      </c>
      <c r="J112" s="71">
        <f t="shared" si="37"/>
        <v>0</v>
      </c>
      <c r="K112" s="69">
        <f>F112</f>
        <v>0.34139999999999998</v>
      </c>
    </row>
    <row r="113" spans="1:11" s="19" customFormat="1" ht="52.5" customHeight="1" x14ac:dyDescent="0.25">
      <c r="A113" s="243"/>
      <c r="B113" s="118">
        <v>0</v>
      </c>
      <c r="C113" s="7">
        <f t="shared" si="38"/>
        <v>1.9572000000000001</v>
      </c>
      <c r="D113" s="17" t="s">
        <v>135</v>
      </c>
      <c r="E113" s="39">
        <v>210</v>
      </c>
      <c r="F113" s="7">
        <f>1957.2/1000</f>
        <v>1.9572000000000001</v>
      </c>
      <c r="G113" s="106">
        <v>0</v>
      </c>
      <c r="H113" s="106">
        <v>0</v>
      </c>
      <c r="I113" s="10" t="str">
        <f t="shared" si="36"/>
        <v>Полівітаміни з іншими мінералами, включаючи комбінації /2g granulat, шт.</v>
      </c>
      <c r="J113" s="71">
        <f t="shared" si="37"/>
        <v>0</v>
      </c>
      <c r="K113" s="69">
        <f>F113</f>
        <v>1.9572000000000001</v>
      </c>
    </row>
    <row r="114" spans="1:11" s="19" customFormat="1" ht="52.5" customHeight="1" x14ac:dyDescent="0.25">
      <c r="A114" s="243"/>
      <c r="B114" s="118">
        <v>0</v>
      </c>
      <c r="C114" s="7">
        <f t="shared" si="38"/>
        <v>71.944000000000003</v>
      </c>
      <c r="D114" s="17" t="s">
        <v>136</v>
      </c>
      <c r="E114" s="39">
        <v>400</v>
      </c>
      <c r="F114" s="7">
        <f>71944/1000</f>
        <v>71.944000000000003</v>
      </c>
      <c r="G114" s="106">
        <v>0</v>
      </c>
      <c r="H114" s="106">
        <v>0</v>
      </c>
      <c r="I114" s="10" t="str">
        <f t="shared" si="36"/>
        <v>Електроліти в комбінації з іншими препаратами / Волюлайт 6% 500 мл, флак.</v>
      </c>
      <c r="J114" s="71">
        <f t="shared" si="37"/>
        <v>1.9740000000000038</v>
      </c>
      <c r="K114" s="55">
        <v>69.97</v>
      </c>
    </row>
    <row r="115" spans="1:11" s="19" customFormat="1" ht="25.5" customHeight="1" x14ac:dyDescent="0.25">
      <c r="A115" s="243"/>
      <c r="B115" s="118">
        <v>0</v>
      </c>
      <c r="C115" s="7">
        <f t="shared" si="38"/>
        <v>0.81200000000000006</v>
      </c>
      <c r="D115" s="17" t="s">
        <v>137</v>
      </c>
      <c r="E115" s="39">
        <v>280</v>
      </c>
      <c r="F115" s="7">
        <f>812/1000</f>
        <v>0.81200000000000006</v>
      </c>
      <c r="G115" s="106">
        <v>0</v>
      </c>
      <c r="H115" s="106">
        <v>0</v>
      </c>
      <c r="I115" s="10" t="str">
        <f t="shared" si="36"/>
        <v>Вода для ін'єкцій 5мл, амп.</v>
      </c>
      <c r="J115" s="71">
        <f t="shared" si="37"/>
        <v>2.200000000000002E-2</v>
      </c>
      <c r="K115" s="55">
        <v>0.79</v>
      </c>
    </row>
    <row r="116" spans="1:11" s="19" customFormat="1" ht="25.5" customHeight="1" x14ac:dyDescent="0.25">
      <c r="A116" s="243"/>
      <c r="B116" s="118">
        <v>0</v>
      </c>
      <c r="C116" s="7">
        <f t="shared" si="38"/>
        <v>0.5</v>
      </c>
      <c r="D116" s="17" t="s">
        <v>138</v>
      </c>
      <c r="E116" s="39">
        <v>500</v>
      </c>
      <c r="F116" s="7">
        <f>500/1000</f>
        <v>0.5</v>
      </c>
      <c r="G116" s="106">
        <v>0</v>
      </c>
      <c r="H116" s="106">
        <v>0</v>
      </c>
      <c r="I116" s="10" t="str">
        <f t="shared" si="36"/>
        <v>Моксифлоксацин / Авелокс ® таблетки п/о 400мг, табл.</v>
      </c>
      <c r="J116" s="71">
        <f t="shared" si="37"/>
        <v>0</v>
      </c>
      <c r="K116" s="70">
        <v>0.5</v>
      </c>
    </row>
    <row r="117" spans="1:11" s="19" customFormat="1" ht="35.25" customHeight="1" x14ac:dyDescent="0.25">
      <c r="A117" s="243"/>
      <c r="B117" s="118">
        <v>0</v>
      </c>
      <c r="C117" s="7">
        <f t="shared" si="38"/>
        <v>0.2</v>
      </c>
      <c r="D117" s="17" t="s">
        <v>139</v>
      </c>
      <c r="E117" s="39">
        <v>200</v>
      </c>
      <c r="F117" s="7">
        <f>200/1000</f>
        <v>0.2</v>
      </c>
      <c r="G117" s="106">
        <v>0</v>
      </c>
      <c r="H117" s="106">
        <v>0</v>
      </c>
      <c r="I117" s="10" t="str">
        <f t="shared" si="36"/>
        <v>Моксифлоксацин / Авелокс ® розчин для інфузій 250мл (400мг), флак.</v>
      </c>
      <c r="J117" s="71">
        <f t="shared" si="37"/>
        <v>0</v>
      </c>
      <c r="K117" s="70">
        <v>0.2</v>
      </c>
    </row>
    <row r="118" spans="1:11" s="19" customFormat="1" ht="41.25" customHeight="1" x14ac:dyDescent="0.25">
      <c r="A118" s="243"/>
      <c r="B118" s="118">
        <v>0</v>
      </c>
      <c r="C118" s="7">
        <f t="shared" si="38"/>
        <v>0.3</v>
      </c>
      <c r="D118" s="17" t="s">
        <v>140</v>
      </c>
      <c r="E118" s="39">
        <v>300</v>
      </c>
      <c r="F118" s="7">
        <f>300/1000</f>
        <v>0.3</v>
      </c>
      <c r="G118" s="106">
        <v>0</v>
      </c>
      <c r="H118" s="106">
        <v>0</v>
      </c>
      <c r="I118" s="10" t="str">
        <f t="shared" si="36"/>
        <v>Термоковдра на поліетиленовій основі завширшки 160см, завдовжки 210см,для надання першої допомоги, шт.</v>
      </c>
      <c r="J118" s="71">
        <f t="shared" si="37"/>
        <v>1.0000000000000009E-2</v>
      </c>
      <c r="K118" s="72">
        <v>0.28999999999999998</v>
      </c>
    </row>
    <row r="119" spans="1:11" s="19" customFormat="1" ht="25.5" customHeight="1" x14ac:dyDescent="0.25">
      <c r="A119" s="243"/>
      <c r="B119" s="118">
        <v>0</v>
      </c>
      <c r="C119" s="7">
        <f t="shared" si="38"/>
        <v>4.3289999999999997</v>
      </c>
      <c r="D119" s="17" t="s">
        <v>141</v>
      </c>
      <c r="E119" s="39">
        <v>300</v>
      </c>
      <c r="F119" s="7">
        <f>4329/1000</f>
        <v>4.3289999999999997</v>
      </c>
      <c r="G119" s="106">
        <v>0</v>
      </c>
      <c r="H119" s="106">
        <v>0</v>
      </c>
      <c r="I119" s="10" t="str">
        <f t="shared" si="36"/>
        <v>Витратні матеріали/ Канюлі G16 без ін'єкційного порту, шт.</v>
      </c>
      <c r="J119" s="71">
        <f t="shared" si="37"/>
        <v>0</v>
      </c>
      <c r="K119" s="72">
        <v>4.3289999999999997</v>
      </c>
    </row>
    <row r="120" spans="1:11" s="19" customFormat="1" ht="25.5" customHeight="1" x14ac:dyDescent="0.25">
      <c r="A120" s="243"/>
      <c r="B120" s="118">
        <v>0</v>
      </c>
      <c r="C120" s="7">
        <f t="shared" si="38"/>
        <v>0.35</v>
      </c>
      <c r="D120" s="17" t="s">
        <v>142</v>
      </c>
      <c r="E120" s="39">
        <v>350</v>
      </c>
      <c r="F120" s="7">
        <f>350/1000</f>
        <v>0.35</v>
      </c>
      <c r="G120" s="106">
        <v>0</v>
      </c>
      <c r="H120" s="106">
        <v>0</v>
      </c>
      <c r="I120" s="10" t="str">
        <f t="shared" si="36"/>
        <v>Рукавиці оглядові нестерильні, пар.</v>
      </c>
      <c r="J120" s="71">
        <f t="shared" si="37"/>
        <v>0.35</v>
      </c>
      <c r="K120" s="70">
        <v>0</v>
      </c>
    </row>
    <row r="121" spans="1:11" s="19" customFormat="1" ht="25.5" customHeight="1" x14ac:dyDescent="0.25">
      <c r="A121" s="243"/>
      <c r="B121" s="118">
        <v>0</v>
      </c>
      <c r="C121" s="7">
        <f t="shared" si="38"/>
        <v>5.0000000000000001E-3</v>
      </c>
      <c r="D121" s="17" t="s">
        <v>143</v>
      </c>
      <c r="E121" s="39">
        <v>5</v>
      </c>
      <c r="F121" s="12">
        <f>5/1000</f>
        <v>5.0000000000000001E-3</v>
      </c>
      <c r="G121" s="106">
        <v>0</v>
      </c>
      <c r="H121" s="106">
        <v>0</v>
      </c>
      <c r="I121" s="10" t="str">
        <f t="shared" si="36"/>
        <v>Спірометр стимулюючий 4000мл, п/а, шт.</v>
      </c>
      <c r="J121" s="66">
        <f t="shared" si="37"/>
        <v>5.0000000000000001E-3</v>
      </c>
      <c r="K121" s="69">
        <v>0</v>
      </c>
    </row>
    <row r="122" spans="1:11" s="19" customFormat="1" ht="25.5" customHeight="1" x14ac:dyDescent="0.25">
      <c r="A122" s="243"/>
      <c r="B122" s="118">
        <v>0</v>
      </c>
      <c r="C122" s="7">
        <f t="shared" si="38"/>
        <v>0.02</v>
      </c>
      <c r="D122" s="17" t="s">
        <v>144</v>
      </c>
      <c r="E122" s="39">
        <v>20</v>
      </c>
      <c r="F122" s="7">
        <f>20/1000</f>
        <v>0.02</v>
      </c>
      <c r="G122" s="106">
        <v>0</v>
      </c>
      <c r="H122" s="106">
        <v>0</v>
      </c>
      <c r="I122" s="10" t="str">
        <f t="shared" si="36"/>
        <v>Педіатричний пульсоксиметр датчик з наклейкою</v>
      </c>
      <c r="J122" s="71">
        <f t="shared" si="37"/>
        <v>0</v>
      </c>
      <c r="K122" s="69">
        <v>0.02</v>
      </c>
    </row>
    <row r="123" spans="1:11" s="19" customFormat="1" ht="25.5" customHeight="1" x14ac:dyDescent="0.25">
      <c r="A123" s="243"/>
      <c r="B123" s="118">
        <v>0</v>
      </c>
      <c r="C123" s="7">
        <f t="shared" si="38"/>
        <v>0.02</v>
      </c>
      <c r="D123" s="17" t="s">
        <v>145</v>
      </c>
      <c r="E123" s="39">
        <v>20</v>
      </c>
      <c r="F123" s="7">
        <f>20/1000</f>
        <v>0.02</v>
      </c>
      <c r="G123" s="106">
        <v>0</v>
      </c>
      <c r="H123" s="106">
        <v>0</v>
      </c>
      <c r="I123" s="10" t="str">
        <f t="shared" si="36"/>
        <v>Датчик пульса з наклейкою для дорослих та дітей, шт.</v>
      </c>
      <c r="J123" s="66">
        <f t="shared" si="37"/>
        <v>0.02</v>
      </c>
      <c r="K123" s="69">
        <v>0</v>
      </c>
    </row>
    <row r="124" spans="1:11" s="19" customFormat="1" ht="25.5" customHeight="1" x14ac:dyDescent="0.25">
      <c r="A124" s="243"/>
      <c r="B124" s="118">
        <v>0</v>
      </c>
      <c r="C124" s="7">
        <f t="shared" si="38"/>
        <v>0.02</v>
      </c>
      <c r="D124" s="17" t="s">
        <v>146</v>
      </c>
      <c r="E124" s="39">
        <v>20</v>
      </c>
      <c r="F124" s="7">
        <f>20/1000</f>
        <v>0.02</v>
      </c>
      <c r="G124" s="106">
        <v>0</v>
      </c>
      <c r="H124" s="106">
        <v>0</v>
      </c>
      <c r="I124" s="10" t="str">
        <f t="shared" si="36"/>
        <v>Датчик пульса з наклейкою для дорослих, шт.</v>
      </c>
      <c r="J124" s="66">
        <f t="shared" si="37"/>
        <v>0.02</v>
      </c>
      <c r="K124" s="69">
        <v>0</v>
      </c>
    </row>
    <row r="125" spans="1:11" s="19" customFormat="1" ht="25.5" customHeight="1" thickBot="1" x14ac:dyDescent="0.3">
      <c r="A125" s="244"/>
      <c r="B125" s="120">
        <v>1</v>
      </c>
      <c r="C125" s="20">
        <f t="shared" si="38"/>
        <v>0.4</v>
      </c>
      <c r="D125" s="36" t="s">
        <v>147</v>
      </c>
      <c r="E125" s="40">
        <v>400</v>
      </c>
      <c r="F125" s="20">
        <f>400/1000</f>
        <v>0.4</v>
      </c>
      <c r="G125" s="115">
        <v>0</v>
      </c>
      <c r="H125" s="115">
        <v>0</v>
      </c>
      <c r="I125" s="22" t="str">
        <f t="shared" si="36"/>
        <v>Серветки сухі, шт.</v>
      </c>
      <c r="J125" s="73">
        <f t="shared" si="37"/>
        <v>0.4</v>
      </c>
      <c r="K125" s="74">
        <v>0</v>
      </c>
    </row>
    <row r="126" spans="1:11" s="19" customFormat="1" ht="51.75" customHeight="1" x14ac:dyDescent="0.25">
      <c r="A126" s="242" t="s">
        <v>217</v>
      </c>
      <c r="B126" s="245" t="s">
        <v>77</v>
      </c>
      <c r="C126" s="246"/>
      <c r="D126" s="246"/>
      <c r="E126" s="246"/>
      <c r="F126" s="23">
        <f>F127+F128+F129+F130+F131+F132+F133+F134+F135+F136+F137+F138+F139+F140+F141+F142+F143+F144+F145+F146+F147+F148+F149+F150+F151+F152+F153+F154+F155+F156+F157+F158+F159+F160+F161+F162+F163+F164+F165+F166</f>
        <v>147.41654400000002</v>
      </c>
      <c r="G126" s="247" t="s">
        <v>77</v>
      </c>
      <c r="H126" s="247"/>
      <c r="I126" s="247"/>
      <c r="J126" s="75">
        <f>J127+J128+J129+J130+J131+J132+J133+J134+J135+J136+J137+J138+J139+J140+J141+J142+J143+J144+J145+J146+J147+J148+J149+J150+J151+J152+J153+J154+J155+J156+J157+J158+J159+J160+J161+J162+J163+J164+J165+J166</f>
        <v>39.106600000000007</v>
      </c>
      <c r="K126" s="148">
        <f>SUM(K127:K166)</f>
        <v>108.30994399999999</v>
      </c>
    </row>
    <row r="127" spans="1:11" s="19" customFormat="1" ht="39" customHeight="1" x14ac:dyDescent="0.25">
      <c r="A127" s="243"/>
      <c r="B127" s="118">
        <v>1</v>
      </c>
      <c r="C127" s="33">
        <f>F125:F127</f>
        <v>0.2</v>
      </c>
      <c r="D127" s="17" t="s">
        <v>148</v>
      </c>
      <c r="E127" s="39">
        <v>200</v>
      </c>
      <c r="F127" s="33">
        <f>200/1000</f>
        <v>0.2</v>
      </c>
      <c r="G127" s="106">
        <v>0</v>
      </c>
      <c r="H127" s="106">
        <v>0</v>
      </c>
      <c r="I127" s="10" t="str">
        <f t="shared" ref="I127:I166" si="39">D127</f>
        <v>Витратні матеріали / Подовжувач інфузійний / BD Alaris 200cm 1,5ml, шт.</v>
      </c>
      <c r="J127" s="71">
        <f t="shared" si="37"/>
        <v>0</v>
      </c>
      <c r="K127" s="69">
        <v>0.2</v>
      </c>
    </row>
    <row r="128" spans="1:11" s="19" customFormat="1" ht="39" customHeight="1" x14ac:dyDescent="0.25">
      <c r="A128" s="243"/>
      <c r="B128" s="118">
        <v>1</v>
      </c>
      <c r="C128" s="33">
        <f t="shared" ref="C128:C166" si="40">F127:F128</f>
        <v>1.2</v>
      </c>
      <c r="D128" s="17" t="s">
        <v>149</v>
      </c>
      <c r="E128" s="39">
        <v>1200</v>
      </c>
      <c r="F128" s="33">
        <f>1200/1000</f>
        <v>1.2</v>
      </c>
      <c r="G128" s="106">
        <v>0</v>
      </c>
      <c r="H128" s="106">
        <v>0</v>
      </c>
      <c r="I128" s="10" t="str">
        <f t="shared" si="39"/>
        <v>Витратні матеріали / Шапочка мед.одноразова, синього кольору, шт.</v>
      </c>
      <c r="J128" s="66">
        <f t="shared" si="37"/>
        <v>5.4999999999999938E-2</v>
      </c>
      <c r="K128" s="69">
        <v>1.145</v>
      </c>
    </row>
    <row r="129" spans="1:11" s="19" customFormat="1" ht="39" customHeight="1" x14ac:dyDescent="0.25">
      <c r="A129" s="243"/>
      <c r="B129" s="118">
        <v>1</v>
      </c>
      <c r="C129" s="33">
        <f t="shared" si="40"/>
        <v>0.28000000000000003</v>
      </c>
      <c r="D129" s="17" t="s">
        <v>150</v>
      </c>
      <c r="E129" s="39">
        <v>280</v>
      </c>
      <c r="F129" s="33">
        <f>280/1000</f>
        <v>0.28000000000000003</v>
      </c>
      <c r="G129" s="106">
        <v>0</v>
      </c>
      <c r="H129" s="106">
        <v>0</v>
      </c>
      <c r="I129" s="10" t="str">
        <f t="shared" si="39"/>
        <v>Ривароксабан / Ксарелто табл.в/о 20мг, табл.</v>
      </c>
      <c r="J129" s="71">
        <f t="shared" si="37"/>
        <v>0</v>
      </c>
      <c r="K129" s="69">
        <v>0.28000000000000003</v>
      </c>
    </row>
    <row r="130" spans="1:11" s="19" customFormat="1" ht="39" customHeight="1" x14ac:dyDescent="0.25">
      <c r="A130" s="243"/>
      <c r="B130" s="118">
        <v>1</v>
      </c>
      <c r="C130" s="33">
        <f t="shared" si="40"/>
        <v>0.155</v>
      </c>
      <c r="D130" s="17" t="s">
        <v>151</v>
      </c>
      <c r="E130" s="39">
        <v>155</v>
      </c>
      <c r="F130" s="33">
        <f>155/1000</f>
        <v>0.155</v>
      </c>
      <c r="G130" s="106">
        <v>0</v>
      </c>
      <c r="H130" s="106">
        <v>0</v>
      </c>
      <c r="I130" s="10" t="str">
        <f t="shared" si="39"/>
        <v>Пропофол / Diprivan 1% 20мл, флак.</v>
      </c>
      <c r="J130" s="66">
        <f t="shared" si="37"/>
        <v>6.6000000000000003E-2</v>
      </c>
      <c r="K130" s="69">
        <v>8.8999999999999996E-2</v>
      </c>
    </row>
    <row r="131" spans="1:11" s="19" customFormat="1" ht="39" customHeight="1" x14ac:dyDescent="0.25">
      <c r="A131" s="243"/>
      <c r="B131" s="118">
        <v>1</v>
      </c>
      <c r="C131" s="33">
        <f t="shared" si="40"/>
        <v>0.1</v>
      </c>
      <c r="D131" s="17" t="s">
        <v>152</v>
      </c>
      <c r="E131" s="39">
        <v>100</v>
      </c>
      <c r="F131" s="33">
        <f>100/1000</f>
        <v>0.1</v>
      </c>
      <c r="G131" s="106">
        <v>0</v>
      </c>
      <c r="H131" s="106">
        <v>0</v>
      </c>
      <c r="I131" s="10" t="str">
        <f t="shared" si="39"/>
        <v>Бупівакаїн / Маркаїн розчин д.ін 5мг/мл 20мл, амп.</v>
      </c>
      <c r="J131" s="71">
        <f t="shared" si="37"/>
        <v>0</v>
      </c>
      <c r="K131" s="69">
        <v>0.1</v>
      </c>
    </row>
    <row r="132" spans="1:11" s="19" customFormat="1" ht="39" customHeight="1" x14ac:dyDescent="0.25">
      <c r="A132" s="243"/>
      <c r="B132" s="118">
        <v>1</v>
      </c>
      <c r="C132" s="33">
        <f t="shared" si="40"/>
        <v>1.8</v>
      </c>
      <c r="D132" s="17" t="s">
        <v>153</v>
      </c>
      <c r="E132" s="39">
        <v>1800</v>
      </c>
      <c r="F132" s="33">
        <f>1800/1000</f>
        <v>1.8</v>
      </c>
      <c r="G132" s="106">
        <v>0</v>
      </c>
      <c r="H132" s="106">
        <v>0</v>
      </c>
      <c r="I132" s="10" t="str">
        <f t="shared" si="39"/>
        <v>Шприци з голками (різного обсягу) / Шприци 5мл, шт.</v>
      </c>
      <c r="J132" s="71">
        <f t="shared" si="37"/>
        <v>0</v>
      </c>
      <c r="K132" s="69">
        <v>1.8</v>
      </c>
    </row>
    <row r="133" spans="1:11" s="19" customFormat="1" ht="45.75" customHeight="1" x14ac:dyDescent="0.25">
      <c r="A133" s="243"/>
      <c r="B133" s="118">
        <v>1</v>
      </c>
      <c r="C133" s="33">
        <f t="shared" si="40"/>
        <v>0.4</v>
      </c>
      <c r="D133" s="17" t="s">
        <v>154</v>
      </c>
      <c r="E133" s="39">
        <v>400</v>
      </c>
      <c r="F133" s="33">
        <f>400/1000</f>
        <v>0.4</v>
      </c>
      <c r="G133" s="106">
        <v>0</v>
      </c>
      <c r="H133" s="106">
        <v>0</v>
      </c>
      <c r="I133" s="10" t="str">
        <f t="shared" si="39"/>
        <v>Крапельниці та катетери / Закрита катетерна система 20GA  1,25IN, 1,1x32mm, шт.</v>
      </c>
      <c r="J133" s="71">
        <f t="shared" si="37"/>
        <v>0</v>
      </c>
      <c r="K133" s="69">
        <v>0.4</v>
      </c>
    </row>
    <row r="134" spans="1:11" s="19" customFormat="1" ht="42" customHeight="1" x14ac:dyDescent="0.25">
      <c r="A134" s="243"/>
      <c r="B134" s="118">
        <v>1</v>
      </c>
      <c r="C134" s="33">
        <f t="shared" si="40"/>
        <v>0.05</v>
      </c>
      <c r="D134" s="17" t="s">
        <v>155</v>
      </c>
      <c r="E134" s="39">
        <v>50</v>
      </c>
      <c r="F134" s="33">
        <f>50/1000</f>
        <v>0.05</v>
      </c>
      <c r="G134" s="106">
        <v>0</v>
      </c>
      <c r="H134" s="106">
        <v>0</v>
      </c>
      <c r="I134" s="10" t="str">
        <f t="shared" si="39"/>
        <v>Катетери для периферичних вен (різних розмірів) / Внутрішньовенний катетер з захисною плівкою 1,8х45мм 16G, шт.</v>
      </c>
      <c r="J134" s="71">
        <f t="shared" si="37"/>
        <v>0</v>
      </c>
      <c r="K134" s="69">
        <v>0.05</v>
      </c>
    </row>
    <row r="135" spans="1:11" s="19" customFormat="1" ht="30.75" customHeight="1" x14ac:dyDescent="0.25">
      <c r="A135" s="243"/>
      <c r="B135" s="118">
        <v>1</v>
      </c>
      <c r="C135" s="33">
        <f t="shared" si="40"/>
        <v>8.9348399999999994</v>
      </c>
      <c r="D135" s="17" t="s">
        <v>156</v>
      </c>
      <c r="E135" s="39">
        <v>540</v>
      </c>
      <c r="F135" s="33">
        <f>8934.84/1000</f>
        <v>8.9348399999999994</v>
      </c>
      <c r="G135" s="106">
        <v>0</v>
      </c>
      <c r="H135" s="106">
        <v>0</v>
      </c>
      <c r="I135" s="10" t="str">
        <f t="shared" si="39"/>
        <v>Підгузки дорослі / Підгузки для дорослих, розмір XL, шт.</v>
      </c>
      <c r="J135" s="71">
        <f t="shared" si="37"/>
        <v>0</v>
      </c>
      <c r="K135" s="69">
        <f>F135</f>
        <v>8.9348399999999994</v>
      </c>
    </row>
    <row r="136" spans="1:11" s="19" customFormat="1" ht="30.75" customHeight="1" x14ac:dyDescent="0.25">
      <c r="A136" s="243"/>
      <c r="B136" s="118">
        <v>1</v>
      </c>
      <c r="C136" s="33">
        <f t="shared" si="40"/>
        <v>8.4931200000000011</v>
      </c>
      <c r="D136" s="17" t="s">
        <v>157</v>
      </c>
      <c r="E136" s="39">
        <v>480</v>
      </c>
      <c r="F136" s="33">
        <f>8493.12/1000</f>
        <v>8.4931200000000011</v>
      </c>
      <c r="G136" s="106">
        <v>0</v>
      </c>
      <c r="H136" s="106">
        <v>0</v>
      </c>
      <c r="I136" s="10" t="str">
        <f t="shared" si="39"/>
        <v>Підгузки дорослі / Підгузки для дорослих, розмір L, шт.</v>
      </c>
      <c r="J136" s="71">
        <f t="shared" si="37"/>
        <v>0</v>
      </c>
      <c r="K136" s="69">
        <f>F136</f>
        <v>8.4931200000000011</v>
      </c>
    </row>
    <row r="137" spans="1:11" s="19" customFormat="1" ht="43.5" customHeight="1" x14ac:dyDescent="0.25">
      <c r="A137" s="243"/>
      <c r="B137" s="118">
        <v>1</v>
      </c>
      <c r="C137" s="33">
        <f t="shared" si="40"/>
        <v>0.93620000000000003</v>
      </c>
      <c r="D137" s="17" t="s">
        <v>158</v>
      </c>
      <c r="E137" s="39">
        <v>2000</v>
      </c>
      <c r="F137" s="33">
        <f>936.2/1000</f>
        <v>0.93620000000000003</v>
      </c>
      <c r="G137" s="106">
        <v>0</v>
      </c>
      <c r="H137" s="106">
        <v>0</v>
      </c>
      <c r="I137" s="10" t="str">
        <f t="shared" si="39"/>
        <v>Залізо, вітамін В12 та фолієва кислота / Ferrous salt 60mg iron / Folic acid 0,4mg табл.</v>
      </c>
      <c r="J137" s="66">
        <f t="shared" si="37"/>
        <v>0.43620000000000003</v>
      </c>
      <c r="K137" s="69">
        <v>0.5</v>
      </c>
    </row>
    <row r="138" spans="1:11" s="19" customFormat="1" ht="30.75" customHeight="1" x14ac:dyDescent="0.25">
      <c r="A138" s="243"/>
      <c r="B138" s="118">
        <v>1</v>
      </c>
      <c r="C138" s="33">
        <f t="shared" si="40"/>
        <v>30.794400000000003</v>
      </c>
      <c r="D138" s="17" t="s">
        <v>159</v>
      </c>
      <c r="E138" s="39">
        <v>140</v>
      </c>
      <c r="F138" s="33">
        <f>30794.4/1000</f>
        <v>30.794400000000003</v>
      </c>
      <c r="G138" s="106">
        <v>0</v>
      </c>
      <c r="H138" s="106">
        <v>0</v>
      </c>
      <c r="I138" s="10" t="str">
        <f t="shared" si="39"/>
        <v>Норетинодрел та естроген / LOESTRIN FE 1,5mg-0,03mg, табл.</v>
      </c>
      <c r="J138" s="66">
        <f t="shared" si="37"/>
        <v>30.794400000000003</v>
      </c>
      <c r="K138" s="69">
        <v>0</v>
      </c>
    </row>
    <row r="139" spans="1:11" s="19" customFormat="1" ht="30.75" customHeight="1" x14ac:dyDescent="0.25">
      <c r="A139" s="243"/>
      <c r="B139" s="118">
        <v>1</v>
      </c>
      <c r="C139" s="33">
        <f t="shared" si="40"/>
        <v>10.861000000000001</v>
      </c>
      <c r="D139" s="17" t="s">
        <v>160</v>
      </c>
      <c r="E139" s="39">
        <v>100</v>
      </c>
      <c r="F139" s="33">
        <f>10861/1000</f>
        <v>10.861000000000001</v>
      </c>
      <c r="G139" s="106">
        <v>0</v>
      </c>
      <c r="H139" s="106">
        <v>0</v>
      </c>
      <c r="I139" s="10" t="str">
        <f t="shared" si="39"/>
        <v>Окуляри захисні / Захисні окуляри з еластичною пов'язкою на голову, шт.</v>
      </c>
      <c r="J139" s="66">
        <f t="shared" si="37"/>
        <v>0.39100000000000001</v>
      </c>
      <c r="K139" s="69">
        <v>10.47</v>
      </c>
    </row>
    <row r="140" spans="1:11" s="19" customFormat="1" ht="40.5" customHeight="1" x14ac:dyDescent="0.25">
      <c r="A140" s="243"/>
      <c r="B140" s="118">
        <v>1</v>
      </c>
      <c r="C140" s="33">
        <f t="shared" si="40"/>
        <v>5.4450000000000003</v>
      </c>
      <c r="D140" s="17" t="s">
        <v>161</v>
      </c>
      <c r="E140" s="39">
        <v>900</v>
      </c>
      <c r="F140" s="33">
        <f>5445/1000</f>
        <v>5.4450000000000003</v>
      </c>
      <c r="G140" s="106">
        <v>0</v>
      </c>
      <c r="H140" s="106">
        <v>0</v>
      </c>
      <c r="I140" s="10" t="str">
        <f t="shared" si="39"/>
        <v>Шприци з голками (різного обсягу) / Шприц з безпечною голкою 25G х 1", шт.</v>
      </c>
      <c r="J140" s="71">
        <f t="shared" si="37"/>
        <v>0</v>
      </c>
      <c r="K140" s="69">
        <v>5.4450000000000003</v>
      </c>
    </row>
    <row r="141" spans="1:11" s="19" customFormat="1" ht="22.5" customHeight="1" x14ac:dyDescent="0.25">
      <c r="A141" s="243"/>
      <c r="B141" s="118">
        <v>1</v>
      </c>
      <c r="C141" s="33">
        <f t="shared" si="40"/>
        <v>0.05</v>
      </c>
      <c r="D141" s="17" t="s">
        <v>162</v>
      </c>
      <c r="E141" s="39">
        <v>50</v>
      </c>
      <c r="F141" s="33">
        <f>50/1000</f>
        <v>0.05</v>
      </c>
      <c r="G141" s="106">
        <v>0</v>
      </c>
      <c r="H141" s="106">
        <v>0</v>
      </c>
      <c r="I141" s="10" t="str">
        <f t="shared" si="39"/>
        <v>Еноксапарин 60мг/0,6мл, амп.</v>
      </c>
      <c r="J141" s="66">
        <f t="shared" si="37"/>
        <v>3.8000000000000006E-2</v>
      </c>
      <c r="K141" s="69">
        <v>1.2E-2</v>
      </c>
    </row>
    <row r="142" spans="1:11" s="19" customFormat="1" ht="22.5" customHeight="1" x14ac:dyDescent="0.25">
      <c r="A142" s="243"/>
      <c r="B142" s="118">
        <v>1</v>
      </c>
      <c r="C142" s="33">
        <f t="shared" si="40"/>
        <v>0.15</v>
      </c>
      <c r="D142" s="17" t="s">
        <v>163</v>
      </c>
      <c r="E142" s="39">
        <v>150</v>
      </c>
      <c r="F142" s="33">
        <f>150/1000</f>
        <v>0.15</v>
      </c>
      <c r="G142" s="106">
        <v>0</v>
      </c>
      <c r="H142" s="106">
        <v>0</v>
      </c>
      <c r="I142" s="10" t="str">
        <f t="shared" si="39"/>
        <v>Еноксапарин 40мг/0,4мл, амп.</v>
      </c>
      <c r="J142" s="71">
        <f t="shared" si="37"/>
        <v>0</v>
      </c>
      <c r="K142" s="69">
        <v>0.15</v>
      </c>
    </row>
    <row r="143" spans="1:11" s="19" customFormat="1" ht="22.5" customHeight="1" x14ac:dyDescent="0.25">
      <c r="A143" s="243"/>
      <c r="B143" s="118">
        <v>1</v>
      </c>
      <c r="C143" s="33">
        <f t="shared" si="40"/>
        <v>1.89</v>
      </c>
      <c r="D143" s="17" t="s">
        <v>164</v>
      </c>
      <c r="E143" s="39">
        <v>1890</v>
      </c>
      <c r="F143" s="33">
        <f>1890/1000</f>
        <v>1.89</v>
      </c>
      <c r="G143" s="106">
        <v>0</v>
      </c>
      <c r="H143" s="106">
        <v>0</v>
      </c>
      <c r="I143" s="10" t="str">
        <f t="shared" si="39"/>
        <v>Етинілестрадіол, табл.</v>
      </c>
      <c r="J143" s="66">
        <f t="shared" si="37"/>
        <v>0.12599999999999989</v>
      </c>
      <c r="K143" s="69">
        <v>1.764</v>
      </c>
    </row>
    <row r="144" spans="1:11" s="19" customFormat="1" ht="22.5" customHeight="1" x14ac:dyDescent="0.25">
      <c r="A144" s="243"/>
      <c r="B144" s="118">
        <v>1</v>
      </c>
      <c r="C144" s="33">
        <f t="shared" si="40"/>
        <v>0.01</v>
      </c>
      <c r="D144" s="17" t="s">
        <v>165</v>
      </c>
      <c r="E144" s="39">
        <v>10</v>
      </c>
      <c r="F144" s="12">
        <f>10/1000</f>
        <v>0.01</v>
      </c>
      <c r="G144" s="106">
        <v>0</v>
      </c>
      <c r="H144" s="106">
        <v>0</v>
      </c>
      <c r="I144" s="10" t="str">
        <f t="shared" si="39"/>
        <v>Набір для промивання шлунка, шт.</v>
      </c>
      <c r="J144" s="71">
        <f t="shared" si="37"/>
        <v>0</v>
      </c>
      <c r="K144" s="69">
        <v>0.01</v>
      </c>
    </row>
    <row r="145" spans="1:11" s="19" customFormat="1" ht="30.75" customHeight="1" x14ac:dyDescent="0.25">
      <c r="A145" s="243"/>
      <c r="B145" s="118">
        <v>1</v>
      </c>
      <c r="C145" s="33">
        <f t="shared" si="40"/>
        <v>0.2</v>
      </c>
      <c r="D145" s="17" t="s">
        <v>166</v>
      </c>
      <c r="E145" s="39">
        <v>200</v>
      </c>
      <c r="F145" s="33">
        <f>200/1000</f>
        <v>0.2</v>
      </c>
      <c r="G145" s="106">
        <v>0</v>
      </c>
      <c r="H145" s="106">
        <v>0</v>
      </c>
      <c r="I145" s="10" t="str">
        <f t="shared" si="39"/>
        <v>Рукавички медичні оглядові нітрилові нестерильні (розмір L), шт.</v>
      </c>
      <c r="J145" s="71">
        <f t="shared" si="37"/>
        <v>0</v>
      </c>
      <c r="K145" s="69">
        <v>0.2</v>
      </c>
    </row>
    <row r="146" spans="1:11" s="19" customFormat="1" ht="30.75" customHeight="1" x14ac:dyDescent="0.25">
      <c r="A146" s="243"/>
      <c r="B146" s="118">
        <v>1</v>
      </c>
      <c r="C146" s="12">
        <f t="shared" si="40"/>
        <v>1E-3</v>
      </c>
      <c r="D146" s="17" t="s">
        <v>167</v>
      </c>
      <c r="E146" s="39">
        <v>1</v>
      </c>
      <c r="F146" s="12">
        <f>1/1000</f>
        <v>1E-3</v>
      </c>
      <c r="G146" s="106">
        <v>0</v>
      </c>
      <c r="H146" s="106">
        <v>0</v>
      </c>
      <c r="I146" s="10" t="str">
        <f t="shared" si="39"/>
        <v>Набір для катетеризації сечового міхура, шт.</v>
      </c>
      <c r="J146" s="71">
        <f t="shared" si="37"/>
        <v>0</v>
      </c>
      <c r="K146" s="69">
        <v>1E-3</v>
      </c>
    </row>
    <row r="147" spans="1:11" s="19" customFormat="1" ht="30.75" customHeight="1" x14ac:dyDescent="0.25">
      <c r="A147" s="243"/>
      <c r="B147" s="118">
        <v>1</v>
      </c>
      <c r="C147" s="33">
        <f t="shared" si="40"/>
        <v>0.5</v>
      </c>
      <c r="D147" s="17" t="s">
        <v>168</v>
      </c>
      <c r="E147" s="39">
        <v>500</v>
      </c>
      <c r="F147" s="34">
        <f>500/1000</f>
        <v>0.5</v>
      </c>
      <c r="G147" s="106">
        <v>0</v>
      </c>
      <c r="H147" s="106">
        <v>0</v>
      </c>
      <c r="I147" s="10" t="str">
        <f t="shared" si="39"/>
        <v>Витратні матеріали / Urine bag 2 I,non-ret. Valves, шт.</v>
      </c>
      <c r="J147" s="71">
        <f t="shared" si="37"/>
        <v>0</v>
      </c>
      <c r="K147" s="69">
        <v>0.5</v>
      </c>
    </row>
    <row r="148" spans="1:11" s="19" customFormat="1" ht="30.75" customHeight="1" x14ac:dyDescent="0.25">
      <c r="A148" s="243"/>
      <c r="B148" s="118">
        <v>1</v>
      </c>
      <c r="C148" s="33">
        <f t="shared" si="40"/>
        <v>0.1</v>
      </c>
      <c r="D148" s="17" t="s">
        <v>168</v>
      </c>
      <c r="E148" s="39">
        <v>100</v>
      </c>
      <c r="F148" s="34">
        <f>100/1000</f>
        <v>0.1</v>
      </c>
      <c r="G148" s="106">
        <v>0</v>
      </c>
      <c r="H148" s="106">
        <v>0</v>
      </c>
      <c r="I148" s="10" t="str">
        <f t="shared" si="39"/>
        <v>Витратні матеріали / Urine bag 2 I,non-ret. Valves, шт.</v>
      </c>
      <c r="J148" s="71">
        <f t="shared" si="37"/>
        <v>0</v>
      </c>
      <c r="K148" s="69">
        <v>0.1</v>
      </c>
    </row>
    <row r="149" spans="1:11" s="19" customFormat="1" ht="30.75" customHeight="1" x14ac:dyDescent="0.25">
      <c r="A149" s="243"/>
      <c r="B149" s="118">
        <v>1</v>
      </c>
      <c r="C149" s="33">
        <f t="shared" si="40"/>
        <v>0.05</v>
      </c>
      <c r="D149" s="17" t="s">
        <v>169</v>
      </c>
      <c r="E149" s="39">
        <v>50</v>
      </c>
      <c r="F149" s="33">
        <f>50/1000</f>
        <v>0.05</v>
      </c>
      <c r="G149" s="106">
        <v>0</v>
      </c>
      <c r="H149" s="106">
        <v>0</v>
      </c>
      <c r="I149" s="10" t="str">
        <f t="shared" si="39"/>
        <v>Витратні матеріали / Nasal oxygen cannula 2 prongs+tube, шт.</v>
      </c>
      <c r="J149" s="71">
        <f t="shared" si="37"/>
        <v>0</v>
      </c>
      <c r="K149" s="69">
        <v>0.05</v>
      </c>
    </row>
    <row r="150" spans="1:11" s="19" customFormat="1" ht="30.75" customHeight="1" thickBot="1" x14ac:dyDescent="0.3">
      <c r="A150" s="244"/>
      <c r="B150" s="120">
        <v>1</v>
      </c>
      <c r="C150" s="35">
        <f t="shared" si="40"/>
        <v>1</v>
      </c>
      <c r="D150" s="36" t="s">
        <v>170</v>
      </c>
      <c r="E150" s="40">
        <v>1000</v>
      </c>
      <c r="F150" s="35">
        <f>1000/1000</f>
        <v>1</v>
      </c>
      <c r="G150" s="115">
        <v>0</v>
      </c>
      <c r="H150" s="115">
        <v>0</v>
      </c>
      <c r="I150" s="22" t="str">
        <f t="shared" si="39"/>
        <v>Рукавички медичні оглядові нітрилові нестерильні (розмір S), шт.</v>
      </c>
      <c r="J150" s="101">
        <f t="shared" si="37"/>
        <v>0</v>
      </c>
      <c r="K150" s="74">
        <v>1</v>
      </c>
    </row>
    <row r="151" spans="1:11" s="19" customFormat="1" ht="36" customHeight="1" x14ac:dyDescent="0.25">
      <c r="A151" s="242" t="s">
        <v>217</v>
      </c>
      <c r="B151" s="144">
        <v>1</v>
      </c>
      <c r="C151" s="149">
        <f t="shared" si="40"/>
        <v>3.6</v>
      </c>
      <c r="D151" s="150" t="s">
        <v>171</v>
      </c>
      <c r="E151" s="151">
        <v>3600</v>
      </c>
      <c r="F151" s="149">
        <f>3600/1000</f>
        <v>3.6</v>
      </c>
      <c r="G151" s="145">
        <v>0</v>
      </c>
      <c r="H151" s="145">
        <v>0</v>
      </c>
      <c r="I151" s="45" t="str">
        <f t="shared" si="39"/>
        <v>Рукавички медичні оглядові нітрилові нестерильні (розмір M), шт.</v>
      </c>
      <c r="J151" s="152">
        <f t="shared" si="37"/>
        <v>0</v>
      </c>
      <c r="K151" s="148">
        <v>3.6</v>
      </c>
    </row>
    <row r="152" spans="1:11" s="19" customFormat="1" ht="36" customHeight="1" x14ac:dyDescent="0.25">
      <c r="A152" s="243"/>
      <c r="B152" s="118">
        <v>1</v>
      </c>
      <c r="C152" s="33">
        <f t="shared" si="40"/>
        <v>0.3</v>
      </c>
      <c r="D152" s="17" t="s">
        <v>172</v>
      </c>
      <c r="E152" s="39">
        <v>300</v>
      </c>
      <c r="F152" s="33">
        <f>300/1000</f>
        <v>0.3</v>
      </c>
      <c r="G152" s="106">
        <v>0</v>
      </c>
      <c r="H152" s="106">
        <v>0</v>
      </c>
      <c r="I152" s="10" t="str">
        <f t="shared" si="39"/>
        <v>Витратні матеріали / Bag plastic for health card 16x22cm, шт.</v>
      </c>
      <c r="J152" s="71">
        <f t="shared" si="37"/>
        <v>0</v>
      </c>
      <c r="K152" s="69">
        <v>0.3</v>
      </c>
    </row>
    <row r="153" spans="1:11" s="19" customFormat="1" ht="36" customHeight="1" x14ac:dyDescent="0.25">
      <c r="A153" s="243"/>
      <c r="B153" s="118">
        <v>1</v>
      </c>
      <c r="C153" s="33">
        <f t="shared" si="40"/>
        <v>0.01</v>
      </c>
      <c r="D153" s="17" t="s">
        <v>173</v>
      </c>
      <c r="E153" s="39">
        <v>10</v>
      </c>
      <c r="F153" s="33">
        <f>10/1000</f>
        <v>0.01</v>
      </c>
      <c r="G153" s="106">
        <v>0</v>
      </c>
      <c r="H153" s="106">
        <v>0</v>
      </c>
      <c r="I153" s="10" t="str">
        <f t="shared" si="39"/>
        <v>Окуляри захисні, шт.</v>
      </c>
      <c r="J153" s="71">
        <f t="shared" si="37"/>
        <v>0</v>
      </c>
      <c r="K153" s="69">
        <v>0.01</v>
      </c>
    </row>
    <row r="154" spans="1:11" s="19" customFormat="1" ht="36" customHeight="1" x14ac:dyDescent="0.25">
      <c r="A154" s="243"/>
      <c r="B154" s="118">
        <v>1</v>
      </c>
      <c r="C154" s="33">
        <f t="shared" si="40"/>
        <v>1.1499999999999999</v>
      </c>
      <c r="D154" s="17" t="s">
        <v>174</v>
      </c>
      <c r="E154" s="39">
        <v>1150</v>
      </c>
      <c r="F154" s="33">
        <f>1150/1000</f>
        <v>1.1499999999999999</v>
      </c>
      <c r="G154" s="106">
        <v>0</v>
      </c>
      <c r="H154" s="106">
        <v>0</v>
      </c>
      <c r="I154" s="10" t="str">
        <f t="shared" si="39"/>
        <v>Шприц 10ml</v>
      </c>
      <c r="J154" s="71">
        <f t="shared" si="37"/>
        <v>0</v>
      </c>
      <c r="K154" s="69">
        <v>1.1499999999999999</v>
      </c>
    </row>
    <row r="155" spans="1:11" s="19" customFormat="1" ht="36" customHeight="1" x14ac:dyDescent="0.25">
      <c r="A155" s="243"/>
      <c r="B155" s="118">
        <v>1</v>
      </c>
      <c r="C155" s="33">
        <f t="shared" si="40"/>
        <v>0.1</v>
      </c>
      <c r="D155" s="17" t="s">
        <v>175</v>
      </c>
      <c r="E155" s="39">
        <v>100</v>
      </c>
      <c r="F155" s="33">
        <f>100/1000</f>
        <v>0.1</v>
      </c>
      <c r="G155" s="106">
        <v>0</v>
      </c>
      <c r="H155" s="106">
        <v>0</v>
      </c>
      <c r="I155" s="10" t="str">
        <f t="shared" si="39"/>
        <v>Шприц 5ml</v>
      </c>
      <c r="J155" s="71">
        <f t="shared" si="37"/>
        <v>0</v>
      </c>
      <c r="K155" s="69">
        <v>0.1</v>
      </c>
    </row>
    <row r="156" spans="1:11" s="19" customFormat="1" ht="36" customHeight="1" x14ac:dyDescent="0.25">
      <c r="A156" s="243"/>
      <c r="B156" s="118">
        <v>1</v>
      </c>
      <c r="C156" s="33">
        <f t="shared" si="40"/>
        <v>2</v>
      </c>
      <c r="D156" s="17" t="s">
        <v>176</v>
      </c>
      <c r="E156" s="39">
        <v>2000</v>
      </c>
      <c r="F156" s="33">
        <f>2000/1000</f>
        <v>2</v>
      </c>
      <c r="G156" s="106">
        <v>0</v>
      </c>
      <c r="H156" s="106">
        <v>0</v>
      </c>
      <c r="I156" s="10" t="str">
        <f t="shared" si="39"/>
        <v>Шприц 2ml</v>
      </c>
      <c r="J156" s="71">
        <f t="shared" si="37"/>
        <v>0</v>
      </c>
      <c r="K156" s="69">
        <v>2</v>
      </c>
    </row>
    <row r="157" spans="1:11" s="19" customFormat="1" ht="36" customHeight="1" x14ac:dyDescent="0.25">
      <c r="A157" s="243"/>
      <c r="B157" s="118">
        <v>1</v>
      </c>
      <c r="C157" s="33">
        <f t="shared" si="40"/>
        <v>2</v>
      </c>
      <c r="D157" s="17" t="s">
        <v>176</v>
      </c>
      <c r="E157" s="39">
        <v>2000</v>
      </c>
      <c r="F157" s="33">
        <f>2000/1000</f>
        <v>2</v>
      </c>
      <c r="G157" s="106">
        <v>0</v>
      </c>
      <c r="H157" s="106">
        <v>0</v>
      </c>
      <c r="I157" s="10" t="str">
        <f t="shared" si="39"/>
        <v>Шприц 2ml</v>
      </c>
      <c r="J157" s="71">
        <f t="shared" si="37"/>
        <v>0</v>
      </c>
      <c r="K157" s="69">
        <v>2</v>
      </c>
    </row>
    <row r="158" spans="1:11" s="19" customFormat="1" ht="36" customHeight="1" x14ac:dyDescent="0.25">
      <c r="A158" s="243"/>
      <c r="B158" s="118">
        <v>1</v>
      </c>
      <c r="C158" s="33">
        <f t="shared" si="40"/>
        <v>1</v>
      </c>
      <c r="D158" s="17" t="s">
        <v>177</v>
      </c>
      <c r="E158" s="39">
        <v>1000</v>
      </c>
      <c r="F158" s="33">
        <f>1000/1000</f>
        <v>1</v>
      </c>
      <c r="G158" s="106">
        <v>0</v>
      </c>
      <c r="H158" s="106">
        <v>0</v>
      </c>
      <c r="I158" s="10" t="str">
        <f t="shared" si="39"/>
        <v>Шприци з голками (різного обсягу) / Шприц одноразовий 3 мл, шт.</v>
      </c>
      <c r="J158" s="71">
        <f t="shared" si="37"/>
        <v>0</v>
      </c>
      <c r="K158" s="69">
        <v>1</v>
      </c>
    </row>
    <row r="159" spans="1:11" s="19" customFormat="1" ht="36" customHeight="1" x14ac:dyDescent="0.25">
      <c r="A159" s="243"/>
      <c r="B159" s="118">
        <v>1</v>
      </c>
      <c r="C159" s="33">
        <f t="shared" si="40"/>
        <v>0.1</v>
      </c>
      <c r="D159" s="17" t="s">
        <v>178</v>
      </c>
      <c r="E159" s="39">
        <v>100</v>
      </c>
      <c r="F159" s="33">
        <f>100/1000</f>
        <v>0.1</v>
      </c>
      <c r="G159" s="106">
        <v>0</v>
      </c>
      <c r="H159" s="106">
        <v>0</v>
      </c>
      <c r="I159" s="10" t="str">
        <f t="shared" si="39"/>
        <v>Шприци з голками (різного обсягу) / Шприц одноразовий 5 мл, шт.</v>
      </c>
      <c r="J159" s="71">
        <f t="shared" si="37"/>
        <v>0</v>
      </c>
      <c r="K159" s="69">
        <v>0.1</v>
      </c>
    </row>
    <row r="160" spans="1:11" s="19" customFormat="1" ht="36" customHeight="1" x14ac:dyDescent="0.25">
      <c r="A160" s="243"/>
      <c r="B160" s="118">
        <v>1</v>
      </c>
      <c r="C160" s="33">
        <f t="shared" si="40"/>
        <v>0.2</v>
      </c>
      <c r="D160" s="17" t="s">
        <v>179</v>
      </c>
      <c r="E160" s="39">
        <v>200</v>
      </c>
      <c r="F160" s="33">
        <f>200/1000</f>
        <v>0.2</v>
      </c>
      <c r="G160" s="106">
        <v>0</v>
      </c>
      <c r="H160" s="106">
        <v>0</v>
      </c>
      <c r="I160" s="10" t="str">
        <f t="shared" si="39"/>
        <v xml:space="preserve">Медичні маски / Маска медична захисна, шт. </v>
      </c>
      <c r="J160" s="71">
        <f t="shared" si="37"/>
        <v>0</v>
      </c>
      <c r="K160" s="69">
        <v>0.2</v>
      </c>
    </row>
    <row r="161" spans="1:18" s="19" customFormat="1" ht="36" customHeight="1" x14ac:dyDescent="0.25">
      <c r="A161" s="243"/>
      <c r="B161" s="118">
        <v>1</v>
      </c>
      <c r="C161" s="33">
        <f t="shared" si="40"/>
        <v>6.7969999999999997</v>
      </c>
      <c r="D161" s="17" t="s">
        <v>180</v>
      </c>
      <c r="E161" s="39">
        <v>100</v>
      </c>
      <c r="F161" s="33">
        <f>6797/1000</f>
        <v>6.7969999999999997</v>
      </c>
      <c r="G161" s="106">
        <v>0</v>
      </c>
      <c r="H161" s="106">
        <v>0</v>
      </c>
      <c r="I161" s="10" t="str">
        <f t="shared" si="39"/>
        <v>Бупівакаїн / Bucain 0,25% 2,5mg/ml 125mg/50ml флакон 50мл, флак.</v>
      </c>
      <c r="J161" s="71">
        <f t="shared" si="37"/>
        <v>0</v>
      </c>
      <c r="K161" s="69">
        <v>6.7969999999999997</v>
      </c>
    </row>
    <row r="162" spans="1:18" s="19" customFormat="1" ht="36" customHeight="1" x14ac:dyDescent="0.25">
      <c r="A162" s="243"/>
      <c r="B162" s="118">
        <v>1</v>
      </c>
      <c r="C162" s="33">
        <f t="shared" si="40"/>
        <v>4.2779999999999996</v>
      </c>
      <c r="D162" s="17" t="s">
        <v>181</v>
      </c>
      <c r="E162" s="39">
        <v>100</v>
      </c>
      <c r="F162" s="33">
        <f>4278/1000</f>
        <v>4.2779999999999996</v>
      </c>
      <c r="G162" s="106">
        <v>0</v>
      </c>
      <c r="H162" s="106">
        <v>0</v>
      </c>
      <c r="I162" s="10" t="str">
        <f t="shared" si="39"/>
        <v>Бупівакаїн / Bucain 0,25% 2,5mg/ml 50mg/20ml флакон 20мл, флак.</v>
      </c>
      <c r="J162" s="71">
        <f t="shared" si="37"/>
        <v>0</v>
      </c>
      <c r="K162" s="69">
        <f>F162</f>
        <v>4.2779999999999996</v>
      </c>
      <c r="N162" s="7" t="e">
        <f>N1+#REF!+N49+N52+N66+N69+N73+N77+N142+N145+N150+N155+N157</f>
        <v>#REF!</v>
      </c>
    </row>
    <row r="163" spans="1:18" s="19" customFormat="1" ht="36" customHeight="1" x14ac:dyDescent="0.25">
      <c r="A163" s="243"/>
      <c r="B163" s="118">
        <v>1</v>
      </c>
      <c r="C163" s="33">
        <f t="shared" si="40"/>
        <v>35.984999999999999</v>
      </c>
      <c r="D163" s="17" t="s">
        <v>182</v>
      </c>
      <c r="E163" s="39">
        <v>500</v>
      </c>
      <c r="F163" s="33">
        <f>35985/1000</f>
        <v>35.984999999999999</v>
      </c>
      <c r="G163" s="106">
        <v>0</v>
      </c>
      <c r="H163" s="106">
        <v>0</v>
      </c>
      <c r="I163" s="10" t="str">
        <f t="shared" si="39"/>
        <v>Бупівакаїн / Bucain 0,5% 5mg/ml 250mg/50ml флакон, флак.</v>
      </c>
      <c r="J163" s="71">
        <f t="shared" si="37"/>
        <v>0</v>
      </c>
      <c r="K163" s="69">
        <v>35.984999999999999</v>
      </c>
    </row>
    <row r="164" spans="1:18" s="19" customFormat="1" ht="36" customHeight="1" x14ac:dyDescent="0.25">
      <c r="A164" s="243"/>
      <c r="B164" s="118">
        <v>1</v>
      </c>
      <c r="C164" s="33">
        <f t="shared" si="40"/>
        <v>4.2979840000000005</v>
      </c>
      <c r="D164" s="17" t="s">
        <v>181</v>
      </c>
      <c r="E164" s="39">
        <v>100</v>
      </c>
      <c r="F164" s="33">
        <f>4297.984/1000</f>
        <v>4.2979840000000005</v>
      </c>
      <c r="G164" s="106">
        <v>0</v>
      </c>
      <c r="H164" s="106">
        <v>0</v>
      </c>
      <c r="I164" s="10" t="str">
        <f t="shared" si="39"/>
        <v>Бупівакаїн / Bucain 0,25% 2,5mg/ml 50mg/20ml флакон 20мл, флак.</v>
      </c>
      <c r="J164" s="71">
        <f t="shared" si="37"/>
        <v>0</v>
      </c>
      <c r="K164" s="69">
        <f>F164</f>
        <v>4.2979840000000005</v>
      </c>
    </row>
    <row r="165" spans="1:18" s="19" customFormat="1" ht="36" customHeight="1" x14ac:dyDescent="0.25">
      <c r="A165" s="243"/>
      <c r="B165" s="118">
        <v>1</v>
      </c>
      <c r="C165" s="33">
        <f t="shared" si="40"/>
        <v>4.798</v>
      </c>
      <c r="D165" s="17" t="s">
        <v>183</v>
      </c>
      <c r="E165" s="39">
        <v>100</v>
      </c>
      <c r="F165" s="33">
        <f>4798/1000</f>
        <v>4.798</v>
      </c>
      <c r="G165" s="106">
        <v>0</v>
      </c>
      <c r="H165" s="106">
        <v>0</v>
      </c>
      <c r="I165" s="10" t="str">
        <f t="shared" si="39"/>
        <v>Бупівакаїн / Bucain 0,25% 2,5mg/ml 50mg/20ml бут., флак.</v>
      </c>
      <c r="J165" s="71">
        <f>F165-K165</f>
        <v>0</v>
      </c>
      <c r="K165" s="69">
        <f>F165</f>
        <v>4.798</v>
      </c>
    </row>
    <row r="166" spans="1:18" s="19" customFormat="1" ht="36" customHeight="1" thickBot="1" x14ac:dyDescent="0.3">
      <c r="A166" s="243"/>
      <c r="B166" s="120">
        <v>1</v>
      </c>
      <c r="C166" s="35">
        <f t="shared" si="40"/>
        <v>7.2</v>
      </c>
      <c r="D166" s="36" t="s">
        <v>184</v>
      </c>
      <c r="E166" s="40">
        <v>7200</v>
      </c>
      <c r="F166" s="35">
        <f>7200/1000</f>
        <v>7.2</v>
      </c>
      <c r="G166" s="115">
        <v>0</v>
      </c>
      <c r="H166" s="115">
        <v>0</v>
      </c>
      <c r="I166" s="22" t="str">
        <f t="shared" si="39"/>
        <v>Вітаміни / Мінісан 5 мкг 200МЕ (віт.Д3), шт.</v>
      </c>
      <c r="J166" s="73">
        <f>F166-K166</f>
        <v>7.2</v>
      </c>
      <c r="K166" s="74">
        <v>0</v>
      </c>
    </row>
    <row r="167" spans="1:18" s="19" customFormat="1" ht="47.25" customHeight="1" x14ac:dyDescent="0.25">
      <c r="A167" s="243"/>
      <c r="B167" s="248" t="s">
        <v>122</v>
      </c>
      <c r="C167" s="249"/>
      <c r="D167" s="249"/>
      <c r="E167" s="250"/>
      <c r="F167" s="23">
        <f>F168+F169</f>
        <v>21.4</v>
      </c>
      <c r="G167" s="221" t="s">
        <v>122</v>
      </c>
      <c r="H167" s="221"/>
      <c r="I167" s="221"/>
      <c r="J167" s="75">
        <f>J168+J169</f>
        <v>21.4</v>
      </c>
      <c r="K167" s="138">
        <v>0</v>
      </c>
    </row>
    <row r="168" spans="1:18" s="19" customFormat="1" ht="30.75" customHeight="1" x14ac:dyDescent="0.25">
      <c r="A168" s="243"/>
      <c r="B168" s="118">
        <v>1</v>
      </c>
      <c r="C168" s="33">
        <f t="shared" ref="C168:C169" si="41">F167:F168</f>
        <v>20</v>
      </c>
      <c r="D168" s="38" t="s">
        <v>185</v>
      </c>
      <c r="E168" s="39">
        <v>2</v>
      </c>
      <c r="F168" s="139">
        <f>20000/1000</f>
        <v>20</v>
      </c>
      <c r="G168" s="106">
        <v>0</v>
      </c>
      <c r="H168" s="106">
        <v>0</v>
      </c>
      <c r="I168" s="10" t="str">
        <f t="shared" ref="I168:I169" si="42">D168</f>
        <v>Ліжко лікарняне Stryker 7600-000-900 Emergency Relief bed</v>
      </c>
      <c r="J168" s="66">
        <f t="shared" ref="J168:J169" si="43">F168</f>
        <v>20</v>
      </c>
      <c r="K168" s="140">
        <v>0</v>
      </c>
    </row>
    <row r="169" spans="1:18" s="19" customFormat="1" ht="30.75" customHeight="1" thickBot="1" x14ac:dyDescent="0.3">
      <c r="A169" s="243"/>
      <c r="B169" s="119">
        <v>1</v>
      </c>
      <c r="C169" s="87">
        <f t="shared" si="41"/>
        <v>1.4</v>
      </c>
      <c r="D169" s="98" t="s">
        <v>186</v>
      </c>
      <c r="E169" s="99">
        <v>2</v>
      </c>
      <c r="F169" s="141">
        <f>1400/1000</f>
        <v>1.4</v>
      </c>
      <c r="G169" s="107">
        <v>0</v>
      </c>
      <c r="H169" s="107">
        <v>0</v>
      </c>
      <c r="I169" s="14" t="str">
        <f t="shared" si="42"/>
        <v>Матрац</v>
      </c>
      <c r="J169" s="77">
        <f t="shared" si="43"/>
        <v>1.4</v>
      </c>
      <c r="K169" s="142">
        <v>0</v>
      </c>
    </row>
    <row r="170" spans="1:18" s="19" customFormat="1" ht="54" customHeight="1" x14ac:dyDescent="0.35">
      <c r="A170" s="243"/>
      <c r="B170" s="220" t="s">
        <v>117</v>
      </c>
      <c r="C170" s="221"/>
      <c r="D170" s="221"/>
      <c r="E170" s="221"/>
      <c r="F170" s="30">
        <f>F171+F172+F173+F174</f>
        <v>4.0000000000000001E-3</v>
      </c>
      <c r="G170" s="221" t="s">
        <v>117</v>
      </c>
      <c r="H170" s="221"/>
      <c r="I170" s="221"/>
      <c r="J170" s="105">
        <f>J171+J172+J173+J174</f>
        <v>4.0000000000000001E-3</v>
      </c>
      <c r="K170" s="138">
        <v>0</v>
      </c>
      <c r="N170" s="128"/>
      <c r="O170" s="128"/>
      <c r="P170" s="128"/>
      <c r="Q170" s="128"/>
      <c r="R170" s="128"/>
    </row>
    <row r="171" spans="1:18" s="19" customFormat="1" ht="33.75" customHeight="1" x14ac:dyDescent="0.35">
      <c r="A171" s="243"/>
      <c r="B171" s="118">
        <v>1</v>
      </c>
      <c r="C171" s="7">
        <f t="shared" ref="C171" si="44">F170:F171</f>
        <v>1E-3</v>
      </c>
      <c r="D171" s="17" t="s">
        <v>187</v>
      </c>
      <c r="E171" s="42">
        <v>1</v>
      </c>
      <c r="F171" s="41">
        <f>1/1000</f>
        <v>1E-3</v>
      </c>
      <c r="G171" s="106">
        <v>0</v>
      </c>
      <c r="H171" s="106">
        <v>0</v>
      </c>
      <c r="I171" s="10" t="str">
        <f t="shared" ref="I171:I174" si="45">D171</f>
        <v>Модуль для монітора пацієнта</v>
      </c>
      <c r="J171" s="71">
        <f t="shared" ref="J171:J179" si="46">F171</f>
        <v>1E-3</v>
      </c>
      <c r="K171" s="140">
        <v>0</v>
      </c>
      <c r="N171" s="128"/>
      <c r="O171" s="128"/>
      <c r="P171" s="128"/>
      <c r="Q171" s="128"/>
      <c r="R171" s="128"/>
    </row>
    <row r="172" spans="1:18" s="19" customFormat="1" ht="33.75" customHeight="1" x14ac:dyDescent="0.35">
      <c r="A172" s="243"/>
      <c r="B172" s="118">
        <v>1</v>
      </c>
      <c r="C172" s="7">
        <f>F171:F172</f>
        <v>1E-3</v>
      </c>
      <c r="D172" s="17" t="s">
        <v>188</v>
      </c>
      <c r="E172" s="42">
        <v>1</v>
      </c>
      <c r="F172" s="41">
        <f>1/1000</f>
        <v>1E-3</v>
      </c>
      <c r="G172" s="106">
        <v>0</v>
      </c>
      <c r="H172" s="106">
        <v>0</v>
      </c>
      <c r="I172" s="10" t="str">
        <f>D172</f>
        <v>Апарат моніторінгу кардіотокографії</v>
      </c>
      <c r="J172" s="71">
        <f>F172</f>
        <v>1E-3</v>
      </c>
      <c r="K172" s="140">
        <v>0</v>
      </c>
      <c r="N172" s="128"/>
      <c r="O172" s="128"/>
      <c r="P172" s="128"/>
      <c r="Q172" s="128"/>
      <c r="R172" s="128"/>
    </row>
    <row r="173" spans="1:18" s="19" customFormat="1" ht="33.75" customHeight="1" x14ac:dyDescent="0.35">
      <c r="A173" s="243"/>
      <c r="B173" s="118">
        <v>1</v>
      </c>
      <c r="C173" s="7">
        <f>F172:F173</f>
        <v>1E-3</v>
      </c>
      <c r="D173" s="17" t="s">
        <v>189</v>
      </c>
      <c r="E173" s="42">
        <v>1</v>
      </c>
      <c r="F173" s="41">
        <f>1/1000</f>
        <v>1E-3</v>
      </c>
      <c r="G173" s="106">
        <v>0</v>
      </c>
      <c r="H173" s="106">
        <v>0</v>
      </c>
      <c r="I173" s="10" t="str">
        <f>D173</f>
        <v>Апарат штучної вентиляції легенів Venslstor VG70 E TIP 608/n/a</v>
      </c>
      <c r="J173" s="71">
        <f>F173</f>
        <v>1E-3</v>
      </c>
      <c r="K173" s="140">
        <v>0</v>
      </c>
      <c r="N173" s="128"/>
      <c r="O173" s="128"/>
      <c r="P173" s="128"/>
      <c r="Q173" s="128"/>
      <c r="R173" s="128"/>
    </row>
    <row r="174" spans="1:18" s="19" customFormat="1" ht="51" customHeight="1" thickBot="1" x14ac:dyDescent="0.4">
      <c r="A174" s="244"/>
      <c r="B174" s="120">
        <v>1</v>
      </c>
      <c r="C174" s="20">
        <f>F173:F174</f>
        <v>1E-3</v>
      </c>
      <c r="D174" s="36" t="s">
        <v>190</v>
      </c>
      <c r="E174" s="43">
        <v>1</v>
      </c>
      <c r="F174" s="100">
        <f>1/1000</f>
        <v>1E-3</v>
      </c>
      <c r="G174" s="115">
        <v>0</v>
      </c>
      <c r="H174" s="115">
        <v>0</v>
      </c>
      <c r="I174" s="22" t="str">
        <f t="shared" si="45"/>
        <v>Обладнання /Апарат моніторингу кардіографії /Candiolocodraphymonitiring device n/a</v>
      </c>
      <c r="J174" s="101">
        <f t="shared" si="46"/>
        <v>1E-3</v>
      </c>
      <c r="K174" s="153">
        <v>0</v>
      </c>
      <c r="N174" s="128"/>
      <c r="O174" s="128"/>
      <c r="P174" s="128"/>
      <c r="Q174" s="128"/>
      <c r="R174" s="128"/>
    </row>
    <row r="175" spans="1:18" s="19" customFormat="1" ht="42.75" customHeight="1" x14ac:dyDescent="0.35">
      <c r="A175" s="231" t="s">
        <v>191</v>
      </c>
      <c r="B175" s="220" t="s">
        <v>122</v>
      </c>
      <c r="C175" s="221"/>
      <c r="D175" s="221"/>
      <c r="E175" s="221"/>
      <c r="F175" s="23">
        <f>F176+F177+F178+F179</f>
        <v>161.50385</v>
      </c>
      <c r="G175" s="221" t="s">
        <v>122</v>
      </c>
      <c r="H175" s="221"/>
      <c r="I175" s="221"/>
      <c r="J175" s="76">
        <f t="shared" si="46"/>
        <v>161.50385</v>
      </c>
      <c r="K175" s="138">
        <v>0</v>
      </c>
      <c r="N175" s="128"/>
      <c r="O175" s="128"/>
      <c r="P175" s="128"/>
      <c r="Q175" s="128"/>
      <c r="R175" s="128"/>
    </row>
    <row r="176" spans="1:18" s="19" customFormat="1" ht="44.25" customHeight="1" x14ac:dyDescent="0.35">
      <c r="A176" s="232"/>
      <c r="B176" s="118">
        <v>1</v>
      </c>
      <c r="C176" s="7">
        <f t="shared" ref="C176:C179" si="47">F175:F176</f>
        <v>30.103400000000001</v>
      </c>
      <c r="D176" s="17" t="s">
        <v>192</v>
      </c>
      <c r="E176" s="42">
        <v>20</v>
      </c>
      <c r="F176" s="7">
        <f>30103.4/1000</f>
        <v>30.103400000000001</v>
      </c>
      <c r="G176" s="106">
        <v>0</v>
      </c>
      <c r="H176" s="106">
        <v>0</v>
      </c>
      <c r="I176" s="10" t="str">
        <f t="shared" ref="I176:I179" si="48">D176</f>
        <v>Сонячний світильник ScheiderElectric mobiya Lite AEP LL01-5100</v>
      </c>
      <c r="J176" s="66">
        <f t="shared" si="46"/>
        <v>30.103400000000001</v>
      </c>
      <c r="K176" s="140">
        <v>0</v>
      </c>
      <c r="N176" s="128"/>
      <c r="O176" s="128"/>
      <c r="P176" s="128"/>
      <c r="Q176" s="128"/>
      <c r="R176" s="128"/>
    </row>
    <row r="177" spans="1:19" s="19" customFormat="1" ht="44.25" customHeight="1" x14ac:dyDescent="0.35">
      <c r="A177" s="232"/>
      <c r="B177" s="118">
        <v>1</v>
      </c>
      <c r="C177" s="7">
        <f t="shared" si="47"/>
        <v>3.1449000000000003</v>
      </c>
      <c r="D177" s="17" t="s">
        <v>193</v>
      </c>
      <c r="E177" s="42">
        <v>10</v>
      </c>
      <c r="F177" s="7">
        <f>3144.9/1000</f>
        <v>3.1449000000000003</v>
      </c>
      <c r="G177" s="106">
        <v>0</v>
      </c>
      <c r="H177" s="106">
        <v>0</v>
      </c>
      <c r="I177" s="10" t="str">
        <f t="shared" si="48"/>
        <v xml:space="preserve"> Обігрівач конвекторний BY 1208</v>
      </c>
      <c r="J177" s="66">
        <f t="shared" si="46"/>
        <v>3.1449000000000003</v>
      </c>
      <c r="K177" s="140">
        <v>0</v>
      </c>
      <c r="N177" s="128"/>
      <c r="O177" s="128"/>
      <c r="P177" s="128"/>
      <c r="Q177" s="128"/>
      <c r="R177" s="128"/>
    </row>
    <row r="178" spans="1:19" s="19" customFormat="1" ht="44.25" customHeight="1" x14ac:dyDescent="0.25">
      <c r="A178" s="232"/>
      <c r="B178" s="118">
        <v>1</v>
      </c>
      <c r="C178" s="7">
        <f t="shared" si="47"/>
        <v>57.242750000000001</v>
      </c>
      <c r="D178" s="17" t="s">
        <v>194</v>
      </c>
      <c r="E178" s="42">
        <v>5</v>
      </c>
      <c r="F178" s="7">
        <f>57242.75/1000</f>
        <v>57.242750000000001</v>
      </c>
      <c r="G178" s="106">
        <v>0</v>
      </c>
      <c r="H178" s="106">
        <v>0</v>
      </c>
      <c r="I178" s="10" t="str">
        <f t="shared" si="48"/>
        <v>Нагрівач мат Cable lhpe 420 W A 691673</v>
      </c>
      <c r="J178" s="66">
        <f t="shared" si="46"/>
        <v>57.242750000000001</v>
      </c>
      <c r="K178" s="140">
        <v>0</v>
      </c>
    </row>
    <row r="179" spans="1:19" s="19" customFormat="1" ht="44.25" customHeight="1" thickBot="1" x14ac:dyDescent="0.3">
      <c r="A179" s="232"/>
      <c r="B179" s="119">
        <v>1</v>
      </c>
      <c r="C179" s="13">
        <f t="shared" si="47"/>
        <v>71.012799999999999</v>
      </c>
      <c r="D179" s="29" t="s">
        <v>195</v>
      </c>
      <c r="E179" s="102">
        <v>5</v>
      </c>
      <c r="F179" s="13">
        <f>71012.8/1000</f>
        <v>71.012799999999999</v>
      </c>
      <c r="G179" s="107">
        <v>0</v>
      </c>
      <c r="H179" s="107">
        <v>0</v>
      </c>
      <c r="I179" s="14" t="str">
        <f t="shared" si="48"/>
        <v>Нагрівач мат Cable lhpe 520 W A 691674</v>
      </c>
      <c r="J179" s="77">
        <f t="shared" si="46"/>
        <v>71.012799999999999</v>
      </c>
      <c r="K179" s="142">
        <v>0</v>
      </c>
    </row>
    <row r="180" spans="1:19" s="19" customFormat="1" ht="43.5" customHeight="1" x14ac:dyDescent="0.25">
      <c r="A180" s="232"/>
      <c r="B180" s="220" t="s">
        <v>117</v>
      </c>
      <c r="C180" s="221"/>
      <c r="D180" s="221"/>
      <c r="E180" s="221"/>
      <c r="F180" s="23">
        <f>F181</f>
        <v>20.066759999999999</v>
      </c>
      <c r="G180" s="222" t="s">
        <v>117</v>
      </c>
      <c r="H180" s="223"/>
      <c r="I180" s="224"/>
      <c r="J180" s="75">
        <f>J181</f>
        <v>20.066759999999999</v>
      </c>
      <c r="K180" s="138">
        <v>0</v>
      </c>
    </row>
    <row r="181" spans="1:19" s="19" customFormat="1" ht="69.75" customHeight="1" thickBot="1" x14ac:dyDescent="0.3">
      <c r="A181" s="232"/>
      <c r="B181" s="119">
        <v>1</v>
      </c>
      <c r="C181" s="13">
        <f t="shared" ref="C181" si="49">F180:F181</f>
        <v>20.066759999999999</v>
      </c>
      <c r="D181" s="14" t="s">
        <v>196</v>
      </c>
      <c r="E181" s="15">
        <v>1</v>
      </c>
      <c r="F181" s="13">
        <f>20066.76/1000</f>
        <v>20.066759999999999</v>
      </c>
      <c r="G181" s="107">
        <v>0</v>
      </c>
      <c r="H181" s="107">
        <v>0</v>
      </c>
      <c r="I181" s="14" t="str">
        <f t="shared" ref="I181" si="50">D181</f>
        <v xml:space="preserve"> Продовжувач на катушці Legrand H07RNF 3g2/5mm)(25m)50758</v>
      </c>
      <c r="J181" s="77">
        <f t="shared" ref="J181" si="51">F181</f>
        <v>20.066759999999999</v>
      </c>
      <c r="K181" s="142">
        <v>0</v>
      </c>
    </row>
    <row r="182" spans="1:19" s="19" customFormat="1" ht="62.25" customHeight="1" x14ac:dyDescent="0.25">
      <c r="A182" s="233" t="s">
        <v>197</v>
      </c>
      <c r="B182" s="235" t="s">
        <v>122</v>
      </c>
      <c r="C182" s="236"/>
      <c r="D182" s="236"/>
      <c r="E182" s="44"/>
      <c r="F182" s="23">
        <f>F184+F185+F186+F183</f>
        <v>66.878050000000002</v>
      </c>
      <c r="G182" s="237" t="s">
        <v>122</v>
      </c>
      <c r="H182" s="238"/>
      <c r="I182" s="239"/>
      <c r="J182" s="84">
        <f>J184+J185+J186+J183</f>
        <v>66.878050000000002</v>
      </c>
      <c r="K182" s="138">
        <v>0</v>
      </c>
    </row>
    <row r="183" spans="1:19" ht="54.75" customHeight="1" x14ac:dyDescent="0.25">
      <c r="A183" s="234"/>
      <c r="B183" s="121">
        <v>1</v>
      </c>
      <c r="C183" s="46">
        <f>F181:F183</f>
        <v>15</v>
      </c>
      <c r="D183" s="31" t="s">
        <v>198</v>
      </c>
      <c r="E183" s="47">
        <v>1</v>
      </c>
      <c r="F183" s="7">
        <f>15000/1000</f>
        <v>15</v>
      </c>
      <c r="G183" s="116">
        <v>0</v>
      </c>
      <c r="H183" s="106">
        <v>0</v>
      </c>
      <c r="I183" s="10" t="str">
        <f t="shared" ref="I183:I186" si="52">D183</f>
        <v>Бетонна плита під генератор з монтажем</v>
      </c>
      <c r="J183" s="79">
        <f t="shared" ref="J183:J186" si="53">F183</f>
        <v>15</v>
      </c>
      <c r="K183" s="140">
        <v>0</v>
      </c>
    </row>
    <row r="184" spans="1:19" ht="48" customHeight="1" x14ac:dyDescent="0.25">
      <c r="A184" s="234"/>
      <c r="B184" s="118">
        <v>1</v>
      </c>
      <c r="C184" s="7">
        <f>F182:F184</f>
        <v>38.031349999999996</v>
      </c>
      <c r="D184" s="48" t="s">
        <v>199</v>
      </c>
      <c r="E184" s="49">
        <v>5</v>
      </c>
      <c r="F184" s="7">
        <f>38031.35/1000</f>
        <v>38.031349999999996</v>
      </c>
      <c r="G184" s="106">
        <v>0</v>
      </c>
      <c r="H184" s="106">
        <v>0</v>
      </c>
      <c r="I184" s="10" t="str">
        <f t="shared" si="52"/>
        <v>Комплект грілка - переноска для немовлят / Embrace Nest Infant Warmer Starter</v>
      </c>
      <c r="J184" s="79">
        <f t="shared" si="53"/>
        <v>38.031349999999996</v>
      </c>
      <c r="K184" s="140">
        <v>0</v>
      </c>
    </row>
    <row r="185" spans="1:19" ht="38.25" customHeight="1" x14ac:dyDescent="0.25">
      <c r="A185" s="234"/>
      <c r="B185" s="118">
        <v>1</v>
      </c>
      <c r="C185" s="7">
        <f t="shared" ref="C185:C186" si="54">F184:F185</f>
        <v>6.4251000000000005</v>
      </c>
      <c r="D185" s="48" t="s">
        <v>200</v>
      </c>
      <c r="E185" s="50">
        <v>5</v>
      </c>
      <c r="F185" s="7">
        <f>6425.1/1000</f>
        <v>6.4251000000000005</v>
      </c>
      <c r="G185" s="106">
        <v>0</v>
      </c>
      <c r="H185" s="106">
        <v>0</v>
      </c>
      <c r="I185" s="10" t="str">
        <f t="shared" si="52"/>
        <v>Переноска  /Baby Wrap Embrace</v>
      </c>
      <c r="J185" s="79">
        <f t="shared" si="53"/>
        <v>6.4251000000000005</v>
      </c>
      <c r="K185" s="140">
        <v>0</v>
      </c>
    </row>
    <row r="186" spans="1:19" ht="84.75" customHeight="1" thickBot="1" x14ac:dyDescent="0.3">
      <c r="A186" s="234"/>
      <c r="B186" s="119">
        <v>1</v>
      </c>
      <c r="C186" s="13">
        <f t="shared" si="54"/>
        <v>7.4216000000000006</v>
      </c>
      <c r="D186" s="103" t="s">
        <v>201</v>
      </c>
      <c r="E186" s="104">
        <v>5</v>
      </c>
      <c r="F186" s="13">
        <f>7421.6/1000</f>
        <v>7.4216000000000006</v>
      </c>
      <c r="G186" s="107">
        <v>0</v>
      </c>
      <c r="H186" s="107">
        <v>0</v>
      </c>
      <c r="I186" s="14" t="str">
        <f t="shared" si="52"/>
        <v>Тепловий елемент / Warm Pack Embrace</v>
      </c>
      <c r="J186" s="83">
        <f t="shared" si="53"/>
        <v>7.4216000000000006</v>
      </c>
      <c r="K186" s="142">
        <v>0</v>
      </c>
    </row>
    <row r="187" spans="1:19" ht="61.5" customHeight="1" thickBot="1" x14ac:dyDescent="0.3">
      <c r="A187" s="225" t="s">
        <v>202</v>
      </c>
      <c r="B187" s="226"/>
      <c r="C187" s="226"/>
      <c r="D187" s="226"/>
      <c r="E187" s="227"/>
      <c r="F187" s="155">
        <f>F5+F24+F74+F77+F91+F94+F98+F102+F167+F170+F175+F180+F182</f>
        <v>810.29581400000018</v>
      </c>
      <c r="G187" s="228" t="s">
        <v>202</v>
      </c>
      <c r="H187" s="229"/>
      <c r="I187" s="230"/>
      <c r="J187" s="156">
        <f>J5+J24+J74+J77+J91+J94+J98+J102+J167+J170+J175+J180+J182</f>
        <v>489.31038999999998</v>
      </c>
      <c r="K187" s="157">
        <f>K5+K24+K74+K77+K91+K94+K98+K102+K167+K170+K175+K180+K182</f>
        <v>368.47016399999995</v>
      </c>
    </row>
    <row r="189" spans="1:19" s="123" customFormat="1" ht="18" x14ac:dyDescent="0.35">
      <c r="B189" s="124"/>
      <c r="C189" s="52"/>
      <c r="D189" s="125" t="s">
        <v>203</v>
      </c>
      <c r="E189" s="126"/>
      <c r="F189" s="52"/>
      <c r="G189" s="124"/>
      <c r="H189" s="124"/>
      <c r="I189" s="127"/>
      <c r="J189" s="86"/>
      <c r="K189" s="122"/>
      <c r="L189" s="128"/>
      <c r="M189" s="128"/>
      <c r="N189" s="19"/>
      <c r="O189" s="19"/>
      <c r="P189" s="19"/>
      <c r="Q189" s="19"/>
      <c r="R189" s="19"/>
      <c r="S189" s="128"/>
    </row>
    <row r="190" spans="1:19" s="123" customFormat="1" ht="18" x14ac:dyDescent="0.35">
      <c r="B190" s="124"/>
      <c r="C190" s="52"/>
      <c r="D190" s="127"/>
      <c r="E190" s="126"/>
      <c r="F190" s="52"/>
      <c r="G190" s="124"/>
      <c r="H190" s="124"/>
      <c r="I190" s="127"/>
      <c r="J190" s="86"/>
      <c r="K190" s="122"/>
      <c r="L190" s="128"/>
      <c r="M190" s="128"/>
      <c r="N190" s="19"/>
      <c r="O190" s="19"/>
      <c r="P190" s="19"/>
      <c r="Q190" s="19"/>
      <c r="R190" s="19"/>
      <c r="S190" s="128"/>
    </row>
    <row r="191" spans="1:19" s="123" customFormat="1" ht="30" customHeight="1" x14ac:dyDescent="0.35">
      <c r="B191" s="124"/>
      <c r="C191" s="52"/>
      <c r="D191" s="129" t="s">
        <v>204</v>
      </c>
      <c r="E191" s="126" t="s">
        <v>205</v>
      </c>
      <c r="F191" s="52"/>
      <c r="G191" s="124" t="s">
        <v>206</v>
      </c>
      <c r="H191" s="124"/>
      <c r="I191" s="127"/>
      <c r="J191" s="86"/>
      <c r="K191" s="122"/>
      <c r="L191" s="128"/>
      <c r="M191" s="128"/>
      <c r="N191" s="19"/>
      <c r="O191" s="19"/>
      <c r="P191" s="19"/>
      <c r="Q191" s="19"/>
      <c r="R191" s="19"/>
      <c r="S191" s="128"/>
    </row>
    <row r="192" spans="1:19" s="123" customFormat="1" ht="18" x14ac:dyDescent="0.35">
      <c r="B192" s="124"/>
      <c r="C192" s="52"/>
      <c r="D192" s="127"/>
      <c r="E192" s="126"/>
      <c r="F192" s="52"/>
      <c r="G192" s="124"/>
      <c r="H192" s="124"/>
      <c r="I192" s="127"/>
      <c r="J192" s="86"/>
      <c r="K192" s="122"/>
      <c r="L192" s="128"/>
      <c r="M192" s="128"/>
      <c r="N192" s="19"/>
      <c r="O192" s="19"/>
      <c r="P192" s="19"/>
      <c r="Q192" s="19"/>
      <c r="R192" s="19"/>
      <c r="S192" s="128"/>
    </row>
    <row r="193" spans="2:19" s="123" customFormat="1" ht="18" x14ac:dyDescent="0.35">
      <c r="B193" s="124"/>
      <c r="C193" s="52"/>
      <c r="D193" s="125" t="s">
        <v>207</v>
      </c>
      <c r="E193" s="126"/>
      <c r="F193" s="52"/>
      <c r="G193" s="124"/>
      <c r="H193" s="124"/>
      <c r="I193" s="127"/>
      <c r="J193" s="86"/>
      <c r="K193" s="122"/>
      <c r="L193" s="128"/>
      <c r="M193" s="128"/>
      <c r="N193" s="19"/>
      <c r="O193" s="19"/>
      <c r="P193" s="19"/>
      <c r="Q193" s="19"/>
      <c r="R193" s="19"/>
      <c r="S193" s="128"/>
    </row>
    <row r="194" spans="2:19" s="123" customFormat="1" ht="43.5" customHeight="1" x14ac:dyDescent="0.35">
      <c r="B194" s="124"/>
      <c r="C194" s="52"/>
      <c r="D194" s="130" t="s">
        <v>208</v>
      </c>
      <c r="E194" s="126" t="s">
        <v>209</v>
      </c>
      <c r="F194" s="52"/>
      <c r="G194" s="124" t="s">
        <v>210</v>
      </c>
      <c r="H194" s="124"/>
      <c r="I194" s="127"/>
      <c r="J194" s="86"/>
      <c r="K194" s="122"/>
      <c r="L194" s="128"/>
      <c r="M194" s="128"/>
      <c r="N194" s="19"/>
      <c r="O194" s="19"/>
      <c r="P194" s="19"/>
      <c r="Q194" s="19"/>
      <c r="R194" s="19"/>
      <c r="S194" s="128"/>
    </row>
    <row r="195" spans="2:19" s="123" customFormat="1" ht="42.75" customHeight="1" x14ac:dyDescent="0.35">
      <c r="B195" s="124"/>
      <c r="C195" s="52"/>
      <c r="D195" s="130" t="s">
        <v>211</v>
      </c>
      <c r="E195" s="126" t="s">
        <v>209</v>
      </c>
      <c r="F195" s="52"/>
      <c r="G195" s="124" t="s">
        <v>212</v>
      </c>
      <c r="H195" s="124"/>
      <c r="I195" s="127"/>
      <c r="J195" s="86"/>
      <c r="K195" s="122"/>
      <c r="L195" s="128"/>
      <c r="M195" s="128"/>
      <c r="N195" s="19"/>
      <c r="O195" s="19"/>
      <c r="P195" s="19"/>
      <c r="Q195" s="19"/>
      <c r="R195" s="19"/>
      <c r="S195" s="128"/>
    </row>
    <row r="196" spans="2:19" s="123" customFormat="1" ht="55.5" customHeight="1" x14ac:dyDescent="0.35">
      <c r="B196" s="124"/>
      <c r="C196" s="52"/>
      <c r="D196" s="130" t="s">
        <v>213</v>
      </c>
      <c r="E196" s="126" t="s">
        <v>209</v>
      </c>
      <c r="F196" s="52"/>
      <c r="G196" s="124" t="s">
        <v>214</v>
      </c>
      <c r="H196" s="124"/>
      <c r="I196" s="127"/>
      <c r="J196" s="86"/>
      <c r="K196" s="122"/>
      <c r="L196" s="128"/>
      <c r="M196" s="128"/>
      <c r="N196" s="19"/>
      <c r="O196" s="19"/>
      <c r="P196" s="19"/>
      <c r="Q196" s="19"/>
      <c r="R196" s="19"/>
      <c r="S196" s="128"/>
    </row>
    <row r="197" spans="2:19" x14ac:dyDescent="0.25">
      <c r="D197" s="3"/>
    </row>
  </sheetData>
  <mergeCells count="72">
    <mergeCell ref="A1:K1"/>
    <mergeCell ref="A2:A3"/>
    <mergeCell ref="B2:C2"/>
    <mergeCell ref="D2:D3"/>
    <mergeCell ref="E2:E3"/>
    <mergeCell ref="F2:F3"/>
    <mergeCell ref="G2:J2"/>
    <mergeCell ref="K2:K3"/>
    <mergeCell ref="B59:E59"/>
    <mergeCell ref="G59:I59"/>
    <mergeCell ref="A4:K4"/>
    <mergeCell ref="A5:A23"/>
    <mergeCell ref="B5:E5"/>
    <mergeCell ref="G5:I5"/>
    <mergeCell ref="A24:A47"/>
    <mergeCell ref="B24:E24"/>
    <mergeCell ref="G24:I24"/>
    <mergeCell ref="B25:E25"/>
    <mergeCell ref="G25:I25"/>
    <mergeCell ref="B51:E51"/>
    <mergeCell ref="G51:I51"/>
    <mergeCell ref="B54:E54"/>
    <mergeCell ref="G54:I54"/>
    <mergeCell ref="B57:E57"/>
    <mergeCell ref="G57:I57"/>
    <mergeCell ref="B32:E32"/>
    <mergeCell ref="G32:I32"/>
    <mergeCell ref="B40:E40"/>
    <mergeCell ref="G40:I40"/>
    <mergeCell ref="B48:E48"/>
    <mergeCell ref="G48:I48"/>
    <mergeCell ref="B68:E68"/>
    <mergeCell ref="G68:I68"/>
    <mergeCell ref="B70:E70"/>
    <mergeCell ref="G70:I70"/>
    <mergeCell ref="A74:A97"/>
    <mergeCell ref="B74:E74"/>
    <mergeCell ref="G74:I74"/>
    <mergeCell ref="B77:D77"/>
    <mergeCell ref="G77:I77"/>
    <mergeCell ref="B91:E91"/>
    <mergeCell ref="A48:A73"/>
    <mergeCell ref="G91:I91"/>
    <mergeCell ref="B94:E94"/>
    <mergeCell ref="G94:I94"/>
    <mergeCell ref="B65:E65"/>
    <mergeCell ref="G65:I65"/>
    <mergeCell ref="A98:A125"/>
    <mergeCell ref="B98:E98"/>
    <mergeCell ref="G98:I98"/>
    <mergeCell ref="B102:E102"/>
    <mergeCell ref="G102:I102"/>
    <mergeCell ref="B103:E103"/>
    <mergeCell ref="G103:I103"/>
    <mergeCell ref="A126:A150"/>
    <mergeCell ref="B126:E126"/>
    <mergeCell ref="G126:I126"/>
    <mergeCell ref="A151:A174"/>
    <mergeCell ref="B167:E167"/>
    <mergeCell ref="G167:I167"/>
    <mergeCell ref="B170:E170"/>
    <mergeCell ref="G170:I170"/>
    <mergeCell ref="A187:E187"/>
    <mergeCell ref="G187:I187"/>
    <mergeCell ref="A175:A181"/>
    <mergeCell ref="B175:E175"/>
    <mergeCell ref="G175:I175"/>
    <mergeCell ref="B180:E180"/>
    <mergeCell ref="G180:I180"/>
    <mergeCell ref="A182:A186"/>
    <mergeCell ref="B182:D182"/>
    <mergeCell ref="G182:I182"/>
  </mergeCells>
  <pageMargins left="0" right="0" top="0" bottom="0" header="0" footer="0"/>
  <pageSetup paperSize="9" scale="43" orientation="landscape" r:id="rId1"/>
  <rowBreaks count="7" manualBreakCount="7">
    <brk id="40" max="22" man="1"/>
    <brk id="47" max="22" man="1"/>
    <brk id="73" max="22" man="1"/>
    <brk id="97" max="22" man="1"/>
    <brk id="125" max="22" man="1"/>
    <brk id="150" max="22" man="1"/>
    <brk id="174" max="22" man="1"/>
  </rowBreaks>
  <colBreaks count="1" manualBreakCount="1">
    <brk id="11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9"/>
  <sheetViews>
    <sheetView view="pageBreakPreview" topLeftCell="A220" zoomScale="60" zoomScaleNormal="80" workbookViewId="0">
      <selection activeCell="D250" sqref="D250"/>
    </sheetView>
  </sheetViews>
  <sheetFormatPr defaultColWidth="9.33203125" defaultRowHeight="15.6" x14ac:dyDescent="0.25"/>
  <cols>
    <col min="1" max="1" width="9.77734375" style="51" customWidth="1"/>
    <col min="2" max="2" width="11.6640625" style="117" customWidth="1"/>
    <col min="3" max="3" width="17.33203125" style="52" customWidth="1"/>
    <col min="4" max="4" width="84.77734375" style="2" customWidth="1"/>
    <col min="5" max="5" width="12" style="53" customWidth="1"/>
    <col min="6" max="6" width="17.6640625" style="52" customWidth="1"/>
    <col min="7" max="7" width="13" style="117" customWidth="1"/>
    <col min="8" max="8" width="9" style="117" customWidth="1"/>
    <col min="9" max="9" width="83.33203125" style="2" customWidth="1"/>
    <col min="10" max="10" width="14.44140625" style="86" customWidth="1"/>
    <col min="11" max="11" width="13.77734375" style="122" customWidth="1"/>
    <col min="12" max="12" width="9.33203125" style="19"/>
    <col min="13" max="13" width="17.44140625" style="19" bestFit="1" customWidth="1"/>
    <col min="14" max="19" width="9.33203125" style="19"/>
    <col min="20" max="16384" width="9.33203125" style="1"/>
  </cols>
  <sheetData>
    <row r="1" spans="1:19" ht="51.75" customHeight="1" thickBot="1" x14ac:dyDescent="0.3">
      <c r="A1" s="280" t="s">
        <v>218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9" s="4" customFormat="1" ht="60.75" customHeight="1" x14ac:dyDescent="0.25">
      <c r="A2" s="281" t="s">
        <v>0</v>
      </c>
      <c r="B2" s="283" t="s">
        <v>1</v>
      </c>
      <c r="C2" s="283"/>
      <c r="D2" s="283" t="s">
        <v>2</v>
      </c>
      <c r="E2" s="285" t="s">
        <v>3</v>
      </c>
      <c r="F2" s="287" t="s">
        <v>4</v>
      </c>
      <c r="G2" s="289" t="s">
        <v>5</v>
      </c>
      <c r="H2" s="290"/>
      <c r="I2" s="290"/>
      <c r="J2" s="291"/>
      <c r="K2" s="292" t="s">
        <v>6</v>
      </c>
      <c r="L2" s="60"/>
      <c r="M2" s="60"/>
      <c r="N2" s="60"/>
      <c r="O2" s="60"/>
      <c r="P2" s="60"/>
      <c r="Q2" s="60"/>
      <c r="R2" s="60"/>
      <c r="S2" s="60"/>
    </row>
    <row r="3" spans="1:19" s="4" customFormat="1" ht="69" customHeight="1" thickBot="1" x14ac:dyDescent="0.3">
      <c r="A3" s="282"/>
      <c r="B3" s="133" t="s">
        <v>7</v>
      </c>
      <c r="C3" s="131" t="s">
        <v>8</v>
      </c>
      <c r="D3" s="284"/>
      <c r="E3" s="286"/>
      <c r="F3" s="288"/>
      <c r="G3" s="132" t="s">
        <v>9</v>
      </c>
      <c r="H3" s="134" t="s">
        <v>10</v>
      </c>
      <c r="I3" s="135" t="s">
        <v>11</v>
      </c>
      <c r="J3" s="136" t="s">
        <v>12</v>
      </c>
      <c r="K3" s="293"/>
      <c r="L3" s="60"/>
      <c r="M3" s="60"/>
      <c r="N3" s="60"/>
      <c r="O3" s="60"/>
      <c r="P3" s="60"/>
      <c r="Q3" s="60"/>
      <c r="R3" s="60"/>
      <c r="S3" s="60"/>
    </row>
    <row r="4" spans="1:19" ht="27" customHeight="1" thickBot="1" x14ac:dyDescent="0.3">
      <c r="A4" s="265" t="s">
        <v>13</v>
      </c>
      <c r="B4" s="266"/>
      <c r="C4" s="266"/>
      <c r="D4" s="266"/>
      <c r="E4" s="266"/>
      <c r="F4" s="266"/>
      <c r="G4" s="266"/>
      <c r="H4" s="266"/>
      <c r="I4" s="266"/>
      <c r="J4" s="266"/>
      <c r="K4" s="267"/>
    </row>
    <row r="5" spans="1:19" s="6" customFormat="1" ht="24" customHeight="1" x14ac:dyDescent="0.3">
      <c r="A5" s="261" t="s">
        <v>14</v>
      </c>
      <c r="B5" s="268" t="s">
        <v>15</v>
      </c>
      <c r="C5" s="269"/>
      <c r="D5" s="269"/>
      <c r="E5" s="270"/>
      <c r="F5" s="5">
        <f>F6+F7+F8+F9+F10+F11+F12+F13+F14+F15+F16+F17+F18+F19+F20+F21+F22+F23+F24+F25+F26+F27+F28+F29+F30+F31+F32+F33+F34+F35+F36+F37+F38+F39+F40+F41+F42+F43+F44+F45+F46+F47+F48+F49+F50+F51+F52+F53+F54+F55+F56+F57+F58+F59+F60+F61+F62+F63+F64+F65+F66</f>
        <v>136.86801799999995</v>
      </c>
      <c r="G5" s="271" t="s">
        <v>15</v>
      </c>
      <c r="H5" s="269"/>
      <c r="I5" s="270"/>
      <c r="J5" s="78">
        <f>J6+J7+J8+J9+J10+J11+J12+J13+J14+J15+J16+J17+J18+J19+J20+J21+J22+J23+J24+J25+J26+J27+J28+J29+J30+J31+J32+J33+J34+J35+J36+J37+J38+J39+J40+J41+J42+J43+J44+J45+J46+J47+J48+J49+J50+J51+J52+J53+J54+J55+J56+J57+J58+J59+J60+J61+J62+J63+J64+J65+J66</f>
        <v>36.680790000000009</v>
      </c>
      <c r="K5" s="65">
        <f>K6+K7+K8+K9+K10+K11+K12+K13+K14+K15+K16+K17+K18+K19+K20+K21+K22+K23+K24+K25+K26+K27+K28+K29+K30+K31+K32+K33+K34+K35+K36+K37+K38+K39+K40+K41+K42+K43+K44+K45+K46+K47+K48+K49+K50+K51+K52+K53+K54+K55+K56+K57+K58+K59+K60+K61+K62+K63+K64+K65+K66</f>
        <v>100.187228</v>
      </c>
      <c r="L5" s="61"/>
      <c r="M5" s="62">
        <f>F5+F67+F116+F119+F133+F136+F140+F144+F209+F212+F217+F222+F224</f>
        <v>1027.7805019999998</v>
      </c>
      <c r="N5" s="61"/>
      <c r="O5" s="61"/>
      <c r="P5" s="61"/>
      <c r="Q5" s="61"/>
      <c r="R5" s="61"/>
      <c r="S5" s="61"/>
    </row>
    <row r="6" spans="1:19" ht="21" customHeight="1" x14ac:dyDescent="0.25">
      <c r="A6" s="254"/>
      <c r="B6" s="118">
        <v>0</v>
      </c>
      <c r="C6" s="7">
        <f>ROUND(5599/1000,2)</f>
        <v>5.6</v>
      </c>
      <c r="D6" s="8" t="s">
        <v>16</v>
      </c>
      <c r="E6" s="106">
        <v>100</v>
      </c>
      <c r="F6" s="7">
        <f>C6</f>
        <v>5.6</v>
      </c>
      <c r="G6" s="106">
        <v>0</v>
      </c>
      <c r="H6" s="106">
        <v>0</v>
      </c>
      <c r="I6" s="10" t="str">
        <f>D6</f>
        <v>Дизельне пальне (в талонах)</v>
      </c>
      <c r="J6" s="79">
        <v>0</v>
      </c>
      <c r="K6" s="58">
        <f>F6-J6</f>
        <v>5.6</v>
      </c>
    </row>
    <row r="7" spans="1:19" ht="21" customHeight="1" x14ac:dyDescent="0.25">
      <c r="A7" s="254"/>
      <c r="B7" s="118">
        <v>0</v>
      </c>
      <c r="C7" s="7">
        <f>ROUND(8314.66/1000,2)</f>
        <v>8.31</v>
      </c>
      <c r="D7" s="8" t="s">
        <v>17</v>
      </c>
      <c r="E7" s="106">
        <v>1</v>
      </c>
      <c r="F7" s="7">
        <f>C7</f>
        <v>8.31</v>
      </c>
      <c r="G7" s="106">
        <v>0</v>
      </c>
      <c r="H7" s="106">
        <v>0</v>
      </c>
      <c r="I7" s="10" t="str">
        <f t="shared" ref="I7:I33" si="0">D7</f>
        <v>Будівельні матеріали</v>
      </c>
      <c r="J7" s="79">
        <f t="shared" ref="J7:J16" si="1">F7</f>
        <v>8.31</v>
      </c>
      <c r="K7" s="58">
        <f>F7-J7</f>
        <v>0</v>
      </c>
    </row>
    <row r="8" spans="1:19" ht="21" customHeight="1" x14ac:dyDescent="0.25">
      <c r="A8" s="254"/>
      <c r="B8" s="118">
        <v>0</v>
      </c>
      <c r="C8" s="7">
        <f>ROUND(6700/1000,2)</f>
        <v>6.7</v>
      </c>
      <c r="D8" s="8" t="s">
        <v>18</v>
      </c>
      <c r="E8" s="106">
        <v>10</v>
      </c>
      <c r="F8" s="7">
        <f t="shared" ref="F8:F34" si="2">C8</f>
        <v>6.7</v>
      </c>
      <c r="G8" s="106">
        <v>0</v>
      </c>
      <c r="H8" s="106">
        <v>0</v>
      </c>
      <c r="I8" s="10" t="str">
        <f t="shared" si="0"/>
        <v>Комплекти постільної білизни</v>
      </c>
      <c r="J8" s="79">
        <f t="shared" si="1"/>
        <v>6.7</v>
      </c>
      <c r="K8" s="58">
        <f t="shared" ref="K8:K66" si="3">F8-J8</f>
        <v>0</v>
      </c>
    </row>
    <row r="9" spans="1:19" ht="21" customHeight="1" x14ac:dyDescent="0.25">
      <c r="A9" s="254"/>
      <c r="B9" s="118">
        <v>0</v>
      </c>
      <c r="C9" s="11">
        <f>ROUND(1200/1000,2)</f>
        <v>1.2</v>
      </c>
      <c r="D9" s="8" t="s">
        <v>19</v>
      </c>
      <c r="E9" s="106">
        <v>10</v>
      </c>
      <c r="F9" s="7">
        <f>C9</f>
        <v>1.2</v>
      </c>
      <c r="G9" s="106">
        <v>0</v>
      </c>
      <c r="H9" s="106">
        <v>0</v>
      </c>
      <c r="I9" s="10" t="str">
        <f t="shared" si="0"/>
        <v>Рушник 50х90 (бавовна)</v>
      </c>
      <c r="J9" s="79">
        <f t="shared" si="1"/>
        <v>1.2</v>
      </c>
      <c r="K9" s="58">
        <f t="shared" si="3"/>
        <v>0</v>
      </c>
    </row>
    <row r="10" spans="1:19" ht="21" customHeight="1" x14ac:dyDescent="0.25">
      <c r="A10" s="254"/>
      <c r="B10" s="118">
        <v>0</v>
      </c>
      <c r="C10" s="7">
        <f>ROUND(370/1000,2)</f>
        <v>0.37</v>
      </c>
      <c r="D10" s="8" t="s">
        <v>20</v>
      </c>
      <c r="E10" s="106">
        <v>5</v>
      </c>
      <c r="F10" s="7">
        <f t="shared" si="2"/>
        <v>0.37</v>
      </c>
      <c r="G10" s="106">
        <v>0</v>
      </c>
      <c r="H10" s="106">
        <v>0</v>
      </c>
      <c r="I10" s="10" t="str">
        <f t="shared" si="0"/>
        <v>Рушник 40х70 (бавовна)</v>
      </c>
      <c r="J10" s="79">
        <f t="shared" si="1"/>
        <v>0.37</v>
      </c>
      <c r="K10" s="58">
        <f t="shared" si="3"/>
        <v>0</v>
      </c>
    </row>
    <row r="11" spans="1:19" ht="21" customHeight="1" x14ac:dyDescent="0.25">
      <c r="A11" s="254"/>
      <c r="B11" s="118">
        <v>0</v>
      </c>
      <c r="C11" s="7">
        <f>ROUND(7957.13/1000,2)</f>
        <v>7.96</v>
      </c>
      <c r="D11" s="8" t="s">
        <v>21</v>
      </c>
      <c r="E11" s="106">
        <v>1</v>
      </c>
      <c r="F11" s="7">
        <f t="shared" si="2"/>
        <v>7.96</v>
      </c>
      <c r="G11" s="106">
        <v>0</v>
      </c>
      <c r="H11" s="106">
        <v>0</v>
      </c>
      <c r="I11" s="10" t="str">
        <f t="shared" si="0"/>
        <v>Паливно-мастильні матеріали</v>
      </c>
      <c r="J11" s="79">
        <v>0</v>
      </c>
      <c r="K11" s="58">
        <f t="shared" si="3"/>
        <v>7.96</v>
      </c>
    </row>
    <row r="12" spans="1:19" ht="21" customHeight="1" x14ac:dyDescent="0.25">
      <c r="A12" s="254"/>
      <c r="B12" s="118">
        <v>0</v>
      </c>
      <c r="C12" s="7">
        <f>ROUND(1329/1000,2)</f>
        <v>1.33</v>
      </c>
      <c r="D12" s="8" t="s">
        <v>22</v>
      </c>
      <c r="E12" s="106">
        <v>1</v>
      </c>
      <c r="F12" s="7">
        <f t="shared" si="2"/>
        <v>1.33</v>
      </c>
      <c r="G12" s="106">
        <v>0</v>
      </c>
      <c r="H12" s="106">
        <v>0</v>
      </c>
      <c r="I12" s="10" t="str">
        <f t="shared" si="0"/>
        <v>Акумуляторна батарея Ritar 12B</v>
      </c>
      <c r="J12" s="79">
        <f t="shared" si="1"/>
        <v>1.33</v>
      </c>
      <c r="K12" s="58">
        <f t="shared" si="3"/>
        <v>0</v>
      </c>
    </row>
    <row r="13" spans="1:19" ht="21" customHeight="1" x14ac:dyDescent="0.25">
      <c r="A13" s="254"/>
      <c r="B13" s="118">
        <v>0</v>
      </c>
      <c r="C13" s="7">
        <f>ROUND(2921/1000,2)</f>
        <v>2.92</v>
      </c>
      <c r="D13" s="8" t="s">
        <v>23</v>
      </c>
      <c r="E13" s="106">
        <v>1</v>
      </c>
      <c r="F13" s="7">
        <f t="shared" si="2"/>
        <v>2.92</v>
      </c>
      <c r="G13" s="106">
        <v>0</v>
      </c>
      <c r="H13" s="106">
        <v>0</v>
      </c>
      <c r="I13" s="10" t="str">
        <f t="shared" si="0"/>
        <v xml:space="preserve">Джерело безперебійного живлення </v>
      </c>
      <c r="J13" s="79">
        <f t="shared" si="1"/>
        <v>2.92</v>
      </c>
      <c r="K13" s="58">
        <f t="shared" si="3"/>
        <v>0</v>
      </c>
    </row>
    <row r="14" spans="1:19" ht="22.5" customHeight="1" x14ac:dyDescent="0.25">
      <c r="A14" s="254"/>
      <c r="B14" s="118">
        <v>0</v>
      </c>
      <c r="C14" s="7">
        <f>ROUND(9552/1000,2)</f>
        <v>9.5500000000000007</v>
      </c>
      <c r="D14" s="8" t="s">
        <v>24</v>
      </c>
      <c r="E14" s="106">
        <v>4</v>
      </c>
      <c r="F14" s="7">
        <f t="shared" si="2"/>
        <v>9.5500000000000007</v>
      </c>
      <c r="G14" s="106">
        <v>0</v>
      </c>
      <c r="H14" s="106">
        <v>0</v>
      </c>
      <c r="I14" s="10" t="str">
        <f t="shared" si="0"/>
        <v>Автошини Hankok Kinergy Eko 2 185/62 R14 86H</v>
      </c>
      <c r="J14" s="79">
        <f t="shared" si="1"/>
        <v>9.5500000000000007</v>
      </c>
      <c r="K14" s="58">
        <f t="shared" si="3"/>
        <v>0</v>
      </c>
    </row>
    <row r="15" spans="1:19" ht="21" customHeight="1" x14ac:dyDescent="0.25">
      <c r="A15" s="254"/>
      <c r="B15" s="118">
        <v>0</v>
      </c>
      <c r="C15" s="7">
        <f>ROUND(4785.25/1000,2)</f>
        <v>4.79</v>
      </c>
      <c r="D15" s="8" t="s">
        <v>17</v>
      </c>
      <c r="E15" s="106">
        <v>1</v>
      </c>
      <c r="F15" s="7">
        <f t="shared" si="2"/>
        <v>4.79</v>
      </c>
      <c r="G15" s="106">
        <v>0</v>
      </c>
      <c r="H15" s="106">
        <v>0</v>
      </c>
      <c r="I15" s="10" t="str">
        <f t="shared" si="0"/>
        <v>Будівельні матеріали</v>
      </c>
      <c r="J15" s="79">
        <v>0</v>
      </c>
      <c r="K15" s="58">
        <f t="shared" si="3"/>
        <v>4.79</v>
      </c>
    </row>
    <row r="16" spans="1:19" ht="21" customHeight="1" x14ac:dyDescent="0.25">
      <c r="A16" s="254"/>
      <c r="B16" s="118">
        <v>0</v>
      </c>
      <c r="C16" s="7">
        <f>(3800.79)/1000</f>
        <v>3.8007900000000001</v>
      </c>
      <c r="D16" s="8" t="s">
        <v>25</v>
      </c>
      <c r="E16" s="106">
        <v>1</v>
      </c>
      <c r="F16" s="7">
        <f>C16</f>
        <v>3.8007900000000001</v>
      </c>
      <c r="G16" s="106">
        <v>0</v>
      </c>
      <c r="H16" s="106">
        <v>0</v>
      </c>
      <c r="I16" s="10" t="str">
        <f t="shared" si="0"/>
        <v>Водонагрівач</v>
      </c>
      <c r="J16" s="79">
        <f t="shared" si="1"/>
        <v>3.8007900000000001</v>
      </c>
      <c r="K16" s="58">
        <f t="shared" si="3"/>
        <v>0</v>
      </c>
    </row>
    <row r="17" spans="1:11" x14ac:dyDescent="0.25">
      <c r="A17" s="254"/>
      <c r="B17" s="118">
        <v>0</v>
      </c>
      <c r="C17" s="7">
        <f>ROUND(18396/1000,2)</f>
        <v>18.399999999999999</v>
      </c>
      <c r="D17" s="8" t="s">
        <v>26</v>
      </c>
      <c r="E17" s="106">
        <v>1</v>
      </c>
      <c r="F17" s="7">
        <f t="shared" si="2"/>
        <v>18.399999999999999</v>
      </c>
      <c r="G17" s="106">
        <v>0</v>
      </c>
      <c r="H17" s="106">
        <v>0</v>
      </c>
      <c r="I17" s="10" t="str">
        <f t="shared" si="0"/>
        <v>Бензин А-95</v>
      </c>
      <c r="J17" s="79">
        <v>2.5</v>
      </c>
      <c r="K17" s="58">
        <f t="shared" si="3"/>
        <v>15.899999999999999</v>
      </c>
    </row>
    <row r="18" spans="1:11" ht="22.5" customHeight="1" x14ac:dyDescent="0.25">
      <c r="A18" s="254"/>
      <c r="B18" s="118">
        <v>0</v>
      </c>
      <c r="C18" s="7">
        <f>ROUND(82.55/1000,2)</f>
        <v>0.08</v>
      </c>
      <c r="D18" s="10" t="s">
        <v>27</v>
      </c>
      <c r="E18" s="106">
        <v>1</v>
      </c>
      <c r="F18" s="7">
        <f t="shared" si="2"/>
        <v>0.08</v>
      </c>
      <c r="G18" s="106">
        <v>0</v>
      </c>
      <c r="H18" s="106">
        <v>0</v>
      </c>
      <c r="I18" s="10" t="str">
        <f t="shared" si="0"/>
        <v>MAGNAPLAST Коліно-110/87 Htplus</v>
      </c>
      <c r="J18" s="79">
        <v>0</v>
      </c>
      <c r="K18" s="58">
        <f t="shared" si="3"/>
        <v>0.08</v>
      </c>
    </row>
    <row r="19" spans="1:11" ht="30" customHeight="1" x14ac:dyDescent="0.25">
      <c r="A19" s="254"/>
      <c r="B19" s="118">
        <v>0</v>
      </c>
      <c r="C19" s="7">
        <f>321.66/1000</f>
        <v>0.32166</v>
      </c>
      <c r="D19" s="10" t="s">
        <v>28</v>
      </c>
      <c r="E19" s="106">
        <v>1</v>
      </c>
      <c r="F19" s="7">
        <f t="shared" ref="F19:F24" si="4">ROUND(C19,2)</f>
        <v>0.32</v>
      </c>
      <c r="G19" s="106">
        <v>0</v>
      </c>
      <c r="H19" s="106">
        <v>0</v>
      </c>
      <c r="I19" s="10" t="str">
        <f t="shared" si="0"/>
        <v>AURA Грунт укріплюючий антіплесневий Unigrund BioBlock 5л</v>
      </c>
      <c r="J19" s="79">
        <v>0</v>
      </c>
      <c r="K19" s="58">
        <f t="shared" si="3"/>
        <v>0.32</v>
      </c>
    </row>
    <row r="20" spans="1:11" ht="31.5" customHeight="1" x14ac:dyDescent="0.25">
      <c r="A20" s="254"/>
      <c r="B20" s="118">
        <v>0</v>
      </c>
      <c r="C20" s="7">
        <f>335.904/1000</f>
        <v>0.33590399999999998</v>
      </c>
      <c r="D20" s="10" t="s">
        <v>29</v>
      </c>
      <c r="E20" s="106">
        <v>1</v>
      </c>
      <c r="F20" s="7">
        <f t="shared" si="4"/>
        <v>0.34</v>
      </c>
      <c r="G20" s="106">
        <v>0</v>
      </c>
      <c r="H20" s="106">
        <v>0</v>
      </c>
      <c r="I20" s="10" t="str">
        <f t="shared" si="0"/>
        <v>AURA Грунтовка водорозчинна Koncentrat GammaGrund  3л 1:5</v>
      </c>
      <c r="J20" s="79">
        <v>0</v>
      </c>
      <c r="K20" s="58">
        <f t="shared" si="3"/>
        <v>0.34</v>
      </c>
    </row>
    <row r="21" spans="1:11" ht="31.5" customHeight="1" x14ac:dyDescent="0.25">
      <c r="A21" s="254"/>
      <c r="B21" s="118">
        <v>0</v>
      </c>
      <c r="C21" s="7">
        <f>321.552/1000</f>
        <v>0.321552</v>
      </c>
      <c r="D21" s="10" t="s">
        <v>30</v>
      </c>
      <c r="E21" s="106">
        <v>1</v>
      </c>
      <c r="F21" s="7">
        <f t="shared" si="4"/>
        <v>0.32</v>
      </c>
      <c r="G21" s="106">
        <v>0</v>
      </c>
      <c r="H21" s="106">
        <v>0</v>
      </c>
      <c r="I21" s="10" t="str">
        <f t="shared" si="0"/>
        <v>CAPAROL Антисептик Capatox 1л</v>
      </c>
      <c r="J21" s="79">
        <v>0</v>
      </c>
      <c r="K21" s="58">
        <f t="shared" si="3"/>
        <v>0.32</v>
      </c>
    </row>
    <row r="22" spans="1:11" ht="31.5" customHeight="1" x14ac:dyDescent="0.25">
      <c r="A22" s="254"/>
      <c r="B22" s="118">
        <v>0</v>
      </c>
      <c r="C22" s="7">
        <f>3199.356/1000</f>
        <v>3.1993560000000003</v>
      </c>
      <c r="D22" s="10" t="s">
        <v>31</v>
      </c>
      <c r="E22" s="106">
        <v>1</v>
      </c>
      <c r="F22" s="7">
        <f t="shared" si="4"/>
        <v>3.2</v>
      </c>
      <c r="G22" s="106">
        <v>0</v>
      </c>
      <c r="H22" s="106">
        <v>0</v>
      </c>
      <c r="I22" s="10" t="str">
        <f t="shared" si="0"/>
        <v>CERSANIT Компакт PRESIDENT P011 3/6л ниж.підв. з сидінням поліп</v>
      </c>
      <c r="J22" s="79">
        <v>0</v>
      </c>
      <c r="K22" s="58">
        <f t="shared" si="3"/>
        <v>3.2</v>
      </c>
    </row>
    <row r="23" spans="1:11" ht="31.5" customHeight="1" x14ac:dyDescent="0.25">
      <c r="A23" s="254"/>
      <c r="B23" s="118">
        <v>0</v>
      </c>
      <c r="C23" s="7">
        <f>452.004/1000</f>
        <v>0.45200400000000002</v>
      </c>
      <c r="D23" s="10" t="s">
        <v>32</v>
      </c>
      <c r="E23" s="106">
        <v>1</v>
      </c>
      <c r="F23" s="7">
        <f t="shared" si="4"/>
        <v>0.45</v>
      </c>
      <c r="G23" s="106">
        <v>0</v>
      </c>
      <c r="H23" s="106">
        <v>0</v>
      </c>
      <c r="I23" s="10" t="str">
        <f t="shared" si="0"/>
        <v>ESKARO AURA Malare фарба в/дисперс ,5 л.</v>
      </c>
      <c r="J23" s="79">
        <v>0</v>
      </c>
      <c r="K23" s="58">
        <f t="shared" si="3"/>
        <v>0.45</v>
      </c>
    </row>
    <row r="24" spans="1:11" ht="31.5" customHeight="1" x14ac:dyDescent="0.25">
      <c r="A24" s="254"/>
      <c r="B24" s="118">
        <v>0</v>
      </c>
      <c r="C24" s="7">
        <f>833.184/1000</f>
        <v>0.83318399999999992</v>
      </c>
      <c r="D24" s="10" t="s">
        <v>33</v>
      </c>
      <c r="E24" s="106">
        <v>2</v>
      </c>
      <c r="F24" s="7">
        <f t="shared" si="4"/>
        <v>0.83</v>
      </c>
      <c r="G24" s="106">
        <v>0</v>
      </c>
      <c r="H24" s="106">
        <v>0</v>
      </c>
      <c r="I24" s="10" t="str">
        <f t="shared" si="0"/>
        <v>KNAUF Гіпсокартон GKP 9.5 мм/1200/2500</v>
      </c>
      <c r="J24" s="79">
        <v>0</v>
      </c>
      <c r="K24" s="58">
        <f t="shared" si="3"/>
        <v>0.83</v>
      </c>
    </row>
    <row r="25" spans="1:11" ht="31.5" customHeight="1" x14ac:dyDescent="0.25">
      <c r="A25" s="254"/>
      <c r="B25" s="118">
        <v>0</v>
      </c>
      <c r="C25" s="7">
        <f>3616.956/1000</f>
        <v>3.6169560000000001</v>
      </c>
      <c r="D25" s="10" t="s">
        <v>34</v>
      </c>
      <c r="E25" s="106">
        <v>7</v>
      </c>
      <c r="F25" s="7">
        <f t="shared" si="2"/>
        <v>3.6169560000000001</v>
      </c>
      <c r="G25" s="106">
        <v>0</v>
      </c>
      <c r="H25" s="106">
        <v>0</v>
      </c>
      <c r="I25" s="10" t="str">
        <f t="shared" si="0"/>
        <v>KNAUF Гіпсокартон вологост. GKPI 12.5 мм/1200/2500</v>
      </c>
      <c r="J25" s="79">
        <v>0</v>
      </c>
      <c r="K25" s="58">
        <f t="shared" si="3"/>
        <v>3.6169560000000001</v>
      </c>
    </row>
    <row r="26" spans="1:11" ht="25.5" customHeight="1" x14ac:dyDescent="0.25">
      <c r="A26" s="254"/>
      <c r="B26" s="118">
        <v>0</v>
      </c>
      <c r="C26" s="7">
        <f>810.552/1000</f>
        <v>0.81055200000000005</v>
      </c>
      <c r="D26" s="10" t="s">
        <v>35</v>
      </c>
      <c r="E26" s="106">
        <v>2</v>
      </c>
      <c r="F26" s="7">
        <f t="shared" si="2"/>
        <v>0.81055200000000005</v>
      </c>
      <c r="G26" s="106">
        <v>0</v>
      </c>
      <c r="H26" s="106">
        <v>0</v>
      </c>
      <c r="I26" s="10" t="str">
        <f t="shared" si="0"/>
        <v>KNAUF Клей гіпсовий PERLFIX 25кг</v>
      </c>
      <c r="J26" s="79">
        <v>0</v>
      </c>
      <c r="K26" s="58">
        <f t="shared" si="3"/>
        <v>0.81055200000000005</v>
      </c>
    </row>
    <row r="27" spans="1:11" ht="31.5" customHeight="1" x14ac:dyDescent="0.25">
      <c r="A27" s="254"/>
      <c r="B27" s="118">
        <v>0</v>
      </c>
      <c r="C27" s="7">
        <f>758.4/1000</f>
        <v>0.75839999999999996</v>
      </c>
      <c r="D27" s="10" t="s">
        <v>36</v>
      </c>
      <c r="E27" s="106">
        <v>2</v>
      </c>
      <c r="F27" s="7">
        <f t="shared" si="2"/>
        <v>0.75839999999999996</v>
      </c>
      <c r="G27" s="106">
        <v>0</v>
      </c>
      <c r="H27" s="106">
        <v>0</v>
      </c>
      <c r="I27" s="10" t="str">
        <f t="shared" si="0"/>
        <v>KNAUF Шпаклівка HP-ФІНІШ (satengips) 25кг</v>
      </c>
      <c r="J27" s="79">
        <v>0</v>
      </c>
      <c r="K27" s="58">
        <f t="shared" si="3"/>
        <v>0.75839999999999996</v>
      </c>
    </row>
    <row r="28" spans="1:11" ht="31.5" customHeight="1" x14ac:dyDescent="0.25">
      <c r="A28" s="254"/>
      <c r="B28" s="118">
        <v>0</v>
      </c>
      <c r="C28" s="7">
        <f>1971.78/1000</f>
        <v>1.9717799999999999</v>
      </c>
      <c r="D28" s="10" t="s">
        <v>37</v>
      </c>
      <c r="E28" s="106">
        <v>5</v>
      </c>
      <c r="F28" s="7">
        <f t="shared" si="2"/>
        <v>1.9717799999999999</v>
      </c>
      <c r="G28" s="106">
        <v>0</v>
      </c>
      <c r="H28" s="106">
        <v>0</v>
      </c>
      <c r="I28" s="10" t="str">
        <f t="shared" si="0"/>
        <v>KNAUF Штукатурка HP-СТАРТ (izogips) 30кг</v>
      </c>
      <c r="J28" s="79">
        <v>0</v>
      </c>
      <c r="K28" s="58">
        <f t="shared" si="3"/>
        <v>1.9717799999999999</v>
      </c>
    </row>
    <row r="29" spans="1:11" ht="31.5" customHeight="1" x14ac:dyDescent="0.25">
      <c r="A29" s="254"/>
      <c r="B29" s="118">
        <v>0</v>
      </c>
      <c r="C29" s="7">
        <f>213.36/1000</f>
        <v>0.21336000000000002</v>
      </c>
      <c r="D29" s="10" t="s">
        <v>38</v>
      </c>
      <c r="E29" s="106">
        <v>2</v>
      </c>
      <c r="F29" s="7">
        <f t="shared" si="2"/>
        <v>0.21336000000000002</v>
      </c>
      <c r="G29" s="106">
        <v>0</v>
      </c>
      <c r="H29" s="106">
        <v>0</v>
      </c>
      <c r="I29" s="10" t="str">
        <f t="shared" si="0"/>
        <v>VOLTEO Шуруп д/лгк п/гл PH дер 3.5х35 100шт/уп</v>
      </c>
      <c r="J29" s="79">
        <v>0</v>
      </c>
      <c r="K29" s="58">
        <f t="shared" si="3"/>
        <v>0.21336000000000002</v>
      </c>
    </row>
    <row r="30" spans="1:11" ht="31.5" customHeight="1" x14ac:dyDescent="0.25">
      <c r="A30" s="254"/>
      <c r="B30" s="118">
        <v>0</v>
      </c>
      <c r="C30" s="7">
        <f>190.704/1000</f>
        <v>0.19070400000000001</v>
      </c>
      <c r="D30" s="10" t="s">
        <v>39</v>
      </c>
      <c r="E30" s="106">
        <v>2</v>
      </c>
      <c r="F30" s="7">
        <f t="shared" si="2"/>
        <v>0.19070400000000001</v>
      </c>
      <c r="G30" s="106">
        <v>0</v>
      </c>
      <c r="H30" s="106">
        <v>0</v>
      </c>
      <c r="I30" s="10" t="str">
        <f t="shared" si="0"/>
        <v>VOLTEO Шуруп для гіпсокартону з потайною гол PH дер 
3.5х30 100шт/уп</v>
      </c>
      <c r="J30" s="79">
        <v>0</v>
      </c>
      <c r="K30" s="58">
        <f t="shared" si="3"/>
        <v>0.19070400000000001</v>
      </c>
    </row>
    <row r="31" spans="1:11" ht="31.5" customHeight="1" x14ac:dyDescent="0.25">
      <c r="A31" s="254"/>
      <c r="B31" s="118">
        <v>0</v>
      </c>
      <c r="C31" s="7">
        <f>118.308/1000</f>
        <v>0.11830800000000001</v>
      </c>
      <c r="D31" s="10" t="s">
        <v>40</v>
      </c>
      <c r="E31" s="106">
        <v>1</v>
      </c>
      <c r="F31" s="7">
        <f t="shared" si="2"/>
        <v>0.11830800000000001</v>
      </c>
      <c r="G31" s="106">
        <v>0</v>
      </c>
      <c r="H31" s="106">
        <v>0</v>
      </c>
      <c r="I31" s="10" t="str">
        <f t="shared" si="0"/>
        <v xml:space="preserve">VOLTEO Шуруп для гіпсокартону з потайною гол PH дер 
3.5х40 100шт/уп </v>
      </c>
      <c r="J31" s="79">
        <v>0</v>
      </c>
      <c r="K31" s="58">
        <f t="shared" si="3"/>
        <v>0.11830800000000001</v>
      </c>
    </row>
    <row r="32" spans="1:11" ht="31.5" customHeight="1" x14ac:dyDescent="0.25">
      <c r="A32" s="254"/>
      <c r="B32" s="118">
        <v>0</v>
      </c>
      <c r="C32" s="7">
        <f>150.36/1000</f>
        <v>0.15036000000000002</v>
      </c>
      <c r="D32" s="10" t="s">
        <v>41</v>
      </c>
      <c r="E32" s="106">
        <v>1</v>
      </c>
      <c r="F32" s="7">
        <f t="shared" si="2"/>
        <v>0.15036000000000002</v>
      </c>
      <c r="G32" s="106">
        <v>0</v>
      </c>
      <c r="H32" s="106">
        <v>0</v>
      </c>
      <c r="I32" s="10" t="str">
        <f t="shared" si="0"/>
        <v xml:space="preserve">БУДМЕН Профіль CD-60 3м (0.5мм) </v>
      </c>
      <c r="J32" s="79">
        <v>0</v>
      </c>
      <c r="K32" s="58">
        <f t="shared" si="3"/>
        <v>0.15036000000000002</v>
      </c>
    </row>
    <row r="33" spans="1:11" ht="31.5" customHeight="1" x14ac:dyDescent="0.25">
      <c r="A33" s="254"/>
      <c r="B33" s="118">
        <v>0</v>
      </c>
      <c r="C33" s="7">
        <f>202.224/1000</f>
        <v>0.20222399999999999</v>
      </c>
      <c r="D33" s="10" t="s">
        <v>42</v>
      </c>
      <c r="E33" s="106">
        <v>2</v>
      </c>
      <c r="F33" s="7">
        <f t="shared" si="2"/>
        <v>0.20222399999999999</v>
      </c>
      <c r="G33" s="106">
        <v>0</v>
      </c>
      <c r="H33" s="106">
        <v>0</v>
      </c>
      <c r="I33" s="10" t="str">
        <f t="shared" si="0"/>
        <v>БУДМЕН Профіль UD-27 3м (0.5мм)</v>
      </c>
      <c r="J33" s="79">
        <v>0</v>
      </c>
      <c r="K33" s="58">
        <f t="shared" si="3"/>
        <v>0.20222399999999999</v>
      </c>
    </row>
    <row r="34" spans="1:11" ht="31.5" customHeight="1" thickBot="1" x14ac:dyDescent="0.3">
      <c r="A34" s="255"/>
      <c r="B34" s="120">
        <v>0</v>
      </c>
      <c r="C34" s="20">
        <f>474.336/1000</f>
        <v>0.47433600000000004</v>
      </c>
      <c r="D34" s="22" t="s">
        <v>43</v>
      </c>
      <c r="E34" s="115">
        <v>3</v>
      </c>
      <c r="F34" s="20">
        <f t="shared" si="2"/>
        <v>0.47433600000000004</v>
      </c>
      <c r="G34" s="115">
        <v>0</v>
      </c>
      <c r="H34" s="115">
        <v>0</v>
      </c>
      <c r="I34" s="22" t="str">
        <f>D34</f>
        <v>Цемент ПЦ ІІ/А-В-500Р-Н 25 кг Івано-Франківськ</v>
      </c>
      <c r="J34" s="81">
        <v>0</v>
      </c>
      <c r="K34" s="143">
        <f t="shared" si="3"/>
        <v>0.47433600000000004</v>
      </c>
    </row>
    <row r="35" spans="1:11" ht="29.25" customHeight="1" x14ac:dyDescent="0.25">
      <c r="A35" s="261" t="s">
        <v>215</v>
      </c>
      <c r="B35" s="144">
        <v>0</v>
      </c>
      <c r="C35" s="23">
        <f>F34:F35</f>
        <v>0.89701199999999981</v>
      </c>
      <c r="D35" s="45" t="s">
        <v>44</v>
      </c>
      <c r="E35" s="145">
        <v>3</v>
      </c>
      <c r="F35" s="23">
        <f>(249.17*1.2/1000)*E35</f>
        <v>0.89701199999999981</v>
      </c>
      <c r="G35" s="145">
        <v>0</v>
      </c>
      <c r="H35" s="145">
        <v>0</v>
      </c>
      <c r="I35" s="45" t="str">
        <f t="shared" ref="I35:I66" si="5">D35</f>
        <v>Коліно VENTS 323 d150</v>
      </c>
      <c r="J35" s="84">
        <v>0</v>
      </c>
      <c r="K35" s="146">
        <f t="shared" si="3"/>
        <v>0.89701199999999981</v>
      </c>
    </row>
    <row r="36" spans="1:11" ht="29.25" customHeight="1" x14ac:dyDescent="0.25">
      <c r="A36" s="254"/>
      <c r="B36" s="118">
        <v>0</v>
      </c>
      <c r="C36" s="7">
        <f t="shared" ref="C36:C66" si="6">F35:F36</f>
        <v>5.3279639999999997</v>
      </c>
      <c r="D36" s="10" t="s">
        <v>45</v>
      </c>
      <c r="E36" s="106">
        <v>9</v>
      </c>
      <c r="F36" s="7">
        <f>(493.33*1.2/1000)*E36</f>
        <v>5.3279639999999997</v>
      </c>
      <c r="G36" s="106">
        <v>0</v>
      </c>
      <c r="H36" s="106">
        <v>0</v>
      </c>
      <c r="I36" s="10" t="str">
        <f t="shared" si="5"/>
        <v>Канал VENTS 3010 d150/1000</v>
      </c>
      <c r="J36" s="79">
        <v>0</v>
      </c>
      <c r="K36" s="58">
        <f t="shared" si="3"/>
        <v>5.3279639999999997</v>
      </c>
    </row>
    <row r="37" spans="1:11" ht="29.25" customHeight="1" x14ac:dyDescent="0.25">
      <c r="A37" s="254"/>
      <c r="B37" s="118">
        <v>0</v>
      </c>
      <c r="C37" s="7">
        <f t="shared" si="6"/>
        <v>2.1629999999999998</v>
      </c>
      <c r="D37" s="10" t="s">
        <v>46</v>
      </c>
      <c r="E37" s="106">
        <v>7</v>
      </c>
      <c r="F37" s="7">
        <f>(257.5*1.2/1000)*E37</f>
        <v>2.1629999999999998</v>
      </c>
      <c r="G37" s="106">
        <v>0</v>
      </c>
      <c r="H37" s="106">
        <v>0</v>
      </c>
      <c r="I37" s="10" t="str">
        <f t="shared" si="5"/>
        <v>Трійник VENTS 333  d150</v>
      </c>
      <c r="J37" s="79">
        <v>0</v>
      </c>
      <c r="K37" s="58">
        <f t="shared" si="3"/>
        <v>2.1629999999999998</v>
      </c>
    </row>
    <row r="38" spans="1:11" ht="29.25" customHeight="1" x14ac:dyDescent="0.25">
      <c r="A38" s="254"/>
      <c r="B38" s="118">
        <v>0</v>
      </c>
      <c r="C38" s="7">
        <f t="shared" si="6"/>
        <v>0.69300000000000006</v>
      </c>
      <c r="D38" s="10" t="s">
        <v>47</v>
      </c>
      <c r="E38" s="106">
        <v>7</v>
      </c>
      <c r="F38" s="7">
        <f>(82.5*1.2/1000)*E38</f>
        <v>0.69300000000000006</v>
      </c>
      <c r="G38" s="106">
        <v>0</v>
      </c>
      <c r="H38" s="106">
        <v>0</v>
      </c>
      <c r="I38" s="10" t="str">
        <f t="shared" si="5"/>
        <v>З"еднання  VENTS 3133 d150 для ГК</v>
      </c>
      <c r="J38" s="79">
        <v>0</v>
      </c>
      <c r="K38" s="58">
        <f t="shared" si="3"/>
        <v>0.69300000000000006</v>
      </c>
    </row>
    <row r="39" spans="1:11" ht="29.25" customHeight="1" x14ac:dyDescent="0.25">
      <c r="A39" s="254"/>
      <c r="B39" s="118">
        <v>0</v>
      </c>
      <c r="C39" s="7">
        <f t="shared" si="6"/>
        <v>0.76297199999999998</v>
      </c>
      <c r="D39" s="10" t="s">
        <v>48</v>
      </c>
      <c r="E39" s="106">
        <v>7</v>
      </c>
      <c r="F39" s="7">
        <f>(90.83*1.2/1000)*E39</f>
        <v>0.76297199999999998</v>
      </c>
      <c r="G39" s="106">
        <v>0</v>
      </c>
      <c r="H39" s="106">
        <v>0</v>
      </c>
      <c r="I39" s="10" t="str">
        <f t="shared" si="5"/>
        <v>Гратка DOMOVENT дв 150БвС</v>
      </c>
      <c r="J39" s="79">
        <v>0</v>
      </c>
      <c r="K39" s="58">
        <f t="shared" si="3"/>
        <v>0.76297199999999998</v>
      </c>
    </row>
    <row r="40" spans="1:11" ht="29.25" customHeight="1" x14ac:dyDescent="0.25">
      <c r="A40" s="254"/>
      <c r="B40" s="118">
        <v>0</v>
      </c>
      <c r="C40" s="7">
        <f t="shared" si="6"/>
        <v>1.3720560000000002</v>
      </c>
      <c r="D40" s="10" t="s">
        <v>49</v>
      </c>
      <c r="E40" s="106">
        <v>14</v>
      </c>
      <c r="F40" s="7">
        <f>(81.67*1.2/1000)*E40</f>
        <v>1.3720560000000002</v>
      </c>
      <c r="G40" s="106">
        <v>0</v>
      </c>
      <c r="H40" s="106">
        <v>0</v>
      </c>
      <c r="I40" s="10" t="str">
        <f t="shared" si="5"/>
        <v>Тримач VENTS 36 d150</v>
      </c>
      <c r="J40" s="79">
        <v>0</v>
      </c>
      <c r="K40" s="58">
        <f t="shared" si="3"/>
        <v>1.3720560000000002</v>
      </c>
    </row>
    <row r="41" spans="1:11" ht="29.25" customHeight="1" x14ac:dyDescent="0.25">
      <c r="A41" s="254"/>
      <c r="B41" s="118">
        <v>0</v>
      </c>
      <c r="C41" s="7">
        <f t="shared" si="6"/>
        <v>0.13503599999999999</v>
      </c>
      <c r="D41" s="10" t="s">
        <v>50</v>
      </c>
      <c r="E41" s="106">
        <v>1</v>
      </c>
      <c r="F41" s="7">
        <f>(112.53*1.2/1000)*E41</f>
        <v>0.13503599999999999</v>
      </c>
      <c r="G41" s="106">
        <v>0</v>
      </c>
      <c r="H41" s="106">
        <v>0</v>
      </c>
      <c r="I41" s="10" t="str">
        <f t="shared" si="5"/>
        <v>Дюбель розпірниц з універсальним шурупом6*30 (уп.100 шт)</v>
      </c>
      <c r="J41" s="79">
        <v>0</v>
      </c>
      <c r="K41" s="58">
        <f t="shared" si="3"/>
        <v>0.13503599999999999</v>
      </c>
    </row>
    <row r="42" spans="1:11" ht="29.25" customHeight="1" x14ac:dyDescent="0.25">
      <c r="A42" s="254"/>
      <c r="B42" s="118">
        <v>0</v>
      </c>
      <c r="C42" s="7">
        <f t="shared" si="6"/>
        <v>6.5280000000000005E-2</v>
      </c>
      <c r="D42" s="10" t="s">
        <v>51</v>
      </c>
      <c r="E42" s="106">
        <v>1</v>
      </c>
      <c r="F42" s="7">
        <f>(54.4*1.2)/1000</f>
        <v>6.5280000000000005E-2</v>
      </c>
      <c r="G42" s="106">
        <v>0</v>
      </c>
      <c r="H42" s="106">
        <v>0</v>
      </c>
      <c r="I42" s="10" t="str">
        <f t="shared" si="5"/>
        <v>Саморіз для гіпсокартону по днреву фосфатовий 3,9*65 (уп.100 шт)</v>
      </c>
      <c r="J42" s="79">
        <v>0</v>
      </c>
      <c r="K42" s="58">
        <f t="shared" si="3"/>
        <v>6.5280000000000005E-2</v>
      </c>
    </row>
    <row r="43" spans="1:11" ht="29.25" customHeight="1" x14ac:dyDescent="0.25">
      <c r="A43" s="254"/>
      <c r="B43" s="118">
        <v>0</v>
      </c>
      <c r="C43" s="7">
        <f t="shared" si="6"/>
        <v>8.9471999999999996E-2</v>
      </c>
      <c r="D43" s="10" t="s">
        <v>52</v>
      </c>
      <c r="E43" s="106">
        <v>1</v>
      </c>
      <c r="F43" s="7">
        <f>(74.56*1.2)/1000</f>
        <v>8.9471999999999996E-2</v>
      </c>
      <c r="G43" s="106">
        <v>0</v>
      </c>
      <c r="H43" s="106">
        <v>0</v>
      </c>
      <c r="I43" s="10" t="str">
        <f t="shared" si="5"/>
        <v>Саморіз для гіпсокартону по днреву фосфатовий 4,2*76 (уп.100 шт)</v>
      </c>
      <c r="J43" s="79">
        <v>0</v>
      </c>
      <c r="K43" s="58">
        <f t="shared" si="3"/>
        <v>8.9471999999999996E-2</v>
      </c>
    </row>
    <row r="44" spans="1:11" ht="29.25" customHeight="1" x14ac:dyDescent="0.25">
      <c r="A44" s="254"/>
      <c r="B44" s="118">
        <v>0</v>
      </c>
      <c r="C44" s="7">
        <f t="shared" si="6"/>
        <v>7.1940000000000004E-2</v>
      </c>
      <c r="D44" s="10" t="s">
        <v>53</v>
      </c>
      <c r="E44" s="106">
        <v>1</v>
      </c>
      <c r="F44" s="7">
        <f>(59.95*1.2)/1000</f>
        <v>7.1940000000000004E-2</v>
      </c>
      <c r="G44" s="106">
        <v>0</v>
      </c>
      <c r="H44" s="106">
        <v>0</v>
      </c>
      <c r="I44" s="10" t="str">
        <f t="shared" si="5"/>
        <v>Дюбель для швидкого монтажу без комірця з шурупом поліетеленЕСМ 6*60 (уп.100 шт)</v>
      </c>
      <c r="J44" s="79">
        <v>0</v>
      </c>
      <c r="K44" s="58">
        <f t="shared" si="3"/>
        <v>7.1940000000000004E-2</v>
      </c>
    </row>
    <row r="45" spans="1:11" ht="29.25" customHeight="1" x14ac:dyDescent="0.25">
      <c r="A45" s="254"/>
      <c r="B45" s="118">
        <v>0</v>
      </c>
      <c r="C45" s="7">
        <f t="shared" si="6"/>
        <v>0.41800799999999999</v>
      </c>
      <c r="D45" s="10" t="s">
        <v>54</v>
      </c>
      <c r="E45" s="106">
        <v>2</v>
      </c>
      <c r="F45" s="7">
        <f>(174.17*1.2/1000)*E45</f>
        <v>0.41800799999999999</v>
      </c>
      <c r="G45" s="106">
        <v>0</v>
      </c>
      <c r="H45" s="106">
        <v>0</v>
      </c>
      <c r="I45" s="10" t="str">
        <f t="shared" si="5"/>
        <v>Колесо чорн.гума/ст. Пов/площ/галм d-125мм , роз. Підш. (40513350)</v>
      </c>
      <c r="J45" s="79">
        <v>0</v>
      </c>
      <c r="K45" s="58">
        <f t="shared" si="3"/>
        <v>0.41800799999999999</v>
      </c>
    </row>
    <row r="46" spans="1:11" ht="29.25" customHeight="1" x14ac:dyDescent="0.25">
      <c r="A46" s="254"/>
      <c r="B46" s="118">
        <v>0</v>
      </c>
      <c r="C46" s="7">
        <f t="shared" si="6"/>
        <v>0.61199999999999999</v>
      </c>
      <c r="D46" s="10" t="s">
        <v>55</v>
      </c>
      <c r="E46" s="106">
        <v>4</v>
      </c>
      <c r="F46" s="7">
        <f>(127.5*1.2/1000)*E46</f>
        <v>0.61199999999999999</v>
      </c>
      <c r="G46" s="106">
        <v>0</v>
      </c>
      <c r="H46" s="106">
        <v>0</v>
      </c>
      <c r="I46" s="10" t="str">
        <f t="shared" si="5"/>
        <v>Колесо чорн.гума/ст. Непов. d-125мм , роз. Підш. (40513355)</v>
      </c>
      <c r="J46" s="79">
        <v>0</v>
      </c>
      <c r="K46" s="58">
        <f t="shared" si="3"/>
        <v>0.61199999999999999</v>
      </c>
    </row>
    <row r="47" spans="1:11" ht="29.25" customHeight="1" x14ac:dyDescent="0.25">
      <c r="A47" s="254"/>
      <c r="B47" s="118">
        <v>0</v>
      </c>
      <c r="C47" s="7">
        <f t="shared" si="6"/>
        <v>0.57000000000000006</v>
      </c>
      <c r="D47" s="10" t="s">
        <v>56</v>
      </c>
      <c r="E47" s="106">
        <v>10</v>
      </c>
      <c r="F47" s="7">
        <f>(47.5*1.2/1000)*E47</f>
        <v>0.57000000000000006</v>
      </c>
      <c r="G47" s="106">
        <v>0</v>
      </c>
      <c r="H47" s="106">
        <v>0</v>
      </c>
      <c r="I47" s="10" t="str">
        <f t="shared" si="5"/>
        <v>Коробка монтажна E Next e db pro d80.50</v>
      </c>
      <c r="J47" s="79">
        <v>0</v>
      </c>
      <c r="K47" s="58">
        <f t="shared" si="3"/>
        <v>0.57000000000000006</v>
      </c>
    </row>
    <row r="48" spans="1:11" ht="29.25" customHeight="1" x14ac:dyDescent="0.25">
      <c r="A48" s="254"/>
      <c r="B48" s="118">
        <v>0</v>
      </c>
      <c r="C48" s="7">
        <f t="shared" si="6"/>
        <v>0.159</v>
      </c>
      <c r="D48" s="10" t="s">
        <v>57</v>
      </c>
      <c r="E48" s="106">
        <v>1</v>
      </c>
      <c r="F48" s="7">
        <f>132.5*1.2/1000</f>
        <v>0.159</v>
      </c>
      <c r="G48" s="106">
        <v>0</v>
      </c>
      <c r="H48" s="106">
        <v>0</v>
      </c>
      <c r="I48" s="10" t="str">
        <f t="shared" si="5"/>
        <v>Щиток пластиковий Lux-Rau 731-2000-006 ABS, IP2, 6мод. Зовн.устан.</v>
      </c>
      <c r="J48" s="79">
        <v>0</v>
      </c>
      <c r="K48" s="58">
        <f t="shared" si="3"/>
        <v>0.159</v>
      </c>
    </row>
    <row r="49" spans="1:11" ht="29.25" customHeight="1" x14ac:dyDescent="0.25">
      <c r="A49" s="254"/>
      <c r="B49" s="118">
        <v>0</v>
      </c>
      <c r="C49" s="7">
        <f t="shared" si="6"/>
        <v>1.044</v>
      </c>
      <c r="D49" s="10" t="s">
        <v>58</v>
      </c>
      <c r="E49" s="106">
        <v>2</v>
      </c>
      <c r="F49" s="7">
        <f>(435*1.2/1000)*E49</f>
        <v>1.044</v>
      </c>
      <c r="G49" s="106">
        <v>0</v>
      </c>
      <c r="H49" s="106">
        <v>0</v>
      </c>
      <c r="I49" s="10" t="str">
        <f t="shared" si="5"/>
        <v>Продовжувач Barsan BR-1554-5 гн, 5 м з заземленням білий.</v>
      </c>
      <c r="J49" s="79">
        <v>0</v>
      </c>
      <c r="K49" s="58">
        <f t="shared" si="3"/>
        <v>1.044</v>
      </c>
    </row>
    <row r="50" spans="1:11" ht="29.25" customHeight="1" x14ac:dyDescent="0.25">
      <c r="A50" s="254"/>
      <c r="B50" s="118">
        <v>0</v>
      </c>
      <c r="C50" s="7">
        <f t="shared" si="6"/>
        <v>0.3</v>
      </c>
      <c r="D50" s="10" t="s">
        <v>59</v>
      </c>
      <c r="E50" s="106">
        <v>20</v>
      </c>
      <c r="F50" s="7">
        <f>(12.5*1.2/1000)*E50</f>
        <v>0.3</v>
      </c>
      <c r="G50" s="106">
        <v>0</v>
      </c>
      <c r="H50" s="106">
        <v>0</v>
      </c>
      <c r="I50" s="10" t="str">
        <f t="shared" si="5"/>
        <v>Провід Одесакабель ШВВПн 2*0,75, м</v>
      </c>
      <c r="J50" s="79">
        <v>0</v>
      </c>
      <c r="K50" s="58">
        <f t="shared" si="3"/>
        <v>0.3</v>
      </c>
    </row>
    <row r="51" spans="1:11" ht="29.25" customHeight="1" x14ac:dyDescent="0.25">
      <c r="A51" s="254"/>
      <c r="B51" s="118">
        <v>0</v>
      </c>
      <c r="C51" s="7">
        <f t="shared" si="6"/>
        <v>1.1000999999999999</v>
      </c>
      <c r="D51" s="10" t="s">
        <v>60</v>
      </c>
      <c r="E51" s="106">
        <v>25</v>
      </c>
      <c r="F51" s="7">
        <f>(36.67*1.2/1000)*E51</f>
        <v>1.1000999999999999</v>
      </c>
      <c r="G51" s="106">
        <v>0</v>
      </c>
      <c r="H51" s="106">
        <v>0</v>
      </c>
      <c r="I51" s="10" t="str">
        <f t="shared" si="5"/>
        <v>Кабель канал EXPERT 10*20 ММ, 2,00м, білий</v>
      </c>
      <c r="J51" s="79">
        <v>0</v>
      </c>
      <c r="K51" s="58">
        <f t="shared" si="3"/>
        <v>1.1000999999999999</v>
      </c>
    </row>
    <row r="52" spans="1:11" ht="29.25" customHeight="1" x14ac:dyDescent="0.25">
      <c r="A52" s="254"/>
      <c r="B52" s="118">
        <v>0</v>
      </c>
      <c r="C52" s="7">
        <f t="shared" si="6"/>
        <v>4.7520000000000007</v>
      </c>
      <c r="D52" s="10" t="s">
        <v>61</v>
      </c>
      <c r="E52" s="106">
        <v>72</v>
      </c>
      <c r="F52" s="7">
        <f>(55*1.2/1000)*E52</f>
        <v>4.7520000000000007</v>
      </c>
      <c r="G52" s="106">
        <v>0</v>
      </c>
      <c r="H52" s="106">
        <v>0</v>
      </c>
      <c r="I52" s="10" t="str">
        <f t="shared" si="5"/>
        <v>Провід 33 КМ ПВС-3*2,5 м.</v>
      </c>
      <c r="J52" s="79">
        <v>0</v>
      </c>
      <c r="K52" s="58">
        <f t="shared" si="3"/>
        <v>4.7520000000000007</v>
      </c>
    </row>
    <row r="53" spans="1:11" ht="29.25" customHeight="1" x14ac:dyDescent="0.25">
      <c r="A53" s="254"/>
      <c r="B53" s="118">
        <v>0</v>
      </c>
      <c r="C53" s="7">
        <f t="shared" si="6"/>
        <v>2.3255999999999999E-2</v>
      </c>
      <c r="D53" s="10" t="s">
        <v>62</v>
      </c>
      <c r="E53" s="106">
        <v>3</v>
      </c>
      <c r="F53" s="7">
        <f>(6.46*1.2/1000)*E53</f>
        <v>2.3255999999999999E-2</v>
      </c>
      <c r="G53" s="106">
        <v>0</v>
      </c>
      <c r="H53" s="106">
        <v>0</v>
      </c>
      <c r="I53" s="10" t="str">
        <f t="shared" si="5"/>
        <v>Папка швидкозшивач А4, чорна</v>
      </c>
      <c r="J53" s="79">
        <v>0</v>
      </c>
      <c r="K53" s="58">
        <f t="shared" si="3"/>
        <v>2.3255999999999999E-2</v>
      </c>
    </row>
    <row r="54" spans="1:11" ht="29.25" customHeight="1" x14ac:dyDescent="0.25">
      <c r="A54" s="254"/>
      <c r="B54" s="118">
        <v>0</v>
      </c>
      <c r="C54" s="7">
        <f t="shared" si="6"/>
        <v>9.023999999999999E-3</v>
      </c>
      <c r="D54" s="10" t="s">
        <v>63</v>
      </c>
      <c r="E54" s="106">
        <v>2</v>
      </c>
      <c r="F54" s="7">
        <f>(3.76*1.2/1000)*E54</f>
        <v>9.023999999999999E-3</v>
      </c>
      <c r="G54" s="106">
        <v>0</v>
      </c>
      <c r="H54" s="106">
        <v>0</v>
      </c>
      <c r="I54" s="10" t="str">
        <f t="shared" si="5"/>
        <v>Папка щвидкозшивач UP A-4 з перфораціею, жовта</v>
      </c>
      <c r="J54" s="79">
        <v>0</v>
      </c>
      <c r="K54" s="58">
        <f t="shared" si="3"/>
        <v>9.023999999999999E-3</v>
      </c>
    </row>
    <row r="55" spans="1:11" ht="29.25" customHeight="1" x14ac:dyDescent="0.25">
      <c r="A55" s="254"/>
      <c r="B55" s="118">
        <v>0</v>
      </c>
      <c r="C55" s="7">
        <f t="shared" si="6"/>
        <v>1.3650120000000001</v>
      </c>
      <c r="D55" s="10" t="s">
        <v>64</v>
      </c>
      <c r="E55" s="106">
        <v>3</v>
      </c>
      <c r="F55" s="7">
        <f>(379.17*1.2/1000)*E55</f>
        <v>1.3650120000000001</v>
      </c>
      <c r="G55" s="106">
        <v>0</v>
      </c>
      <c r="H55" s="106">
        <v>0</v>
      </c>
      <c r="I55" s="10" t="str">
        <f t="shared" si="5"/>
        <v>Світильник накладний VIA-195 LED 18 Вт ІР 55 4200К VictoriaLighting</v>
      </c>
      <c r="J55" s="79">
        <v>0</v>
      </c>
      <c r="K55" s="58">
        <f t="shared" si="3"/>
        <v>1.3650120000000001</v>
      </c>
    </row>
    <row r="56" spans="1:11" ht="29.25" customHeight="1" x14ac:dyDescent="0.25">
      <c r="A56" s="254"/>
      <c r="B56" s="118">
        <v>0</v>
      </c>
      <c r="C56" s="7">
        <f t="shared" si="6"/>
        <v>1.9299959999999998</v>
      </c>
      <c r="D56" s="10" t="s">
        <v>65</v>
      </c>
      <c r="E56" s="106">
        <v>1</v>
      </c>
      <c r="F56" s="7">
        <f>(1608.33*1.2/1000)*E56</f>
        <v>1.9299959999999998</v>
      </c>
      <c r="G56" s="106">
        <v>0</v>
      </c>
      <c r="H56" s="106">
        <v>0</v>
      </c>
      <c r="I56" s="10" t="str">
        <f t="shared" si="5"/>
        <v>Продовжувач на катушці 4 гнізда ТМ Expert Power ПВС 2*1,0 40м, 10А, max 2,2 лВе, ІР20 термозахист</v>
      </c>
      <c r="J56" s="79">
        <v>0</v>
      </c>
      <c r="K56" s="58">
        <f t="shared" si="3"/>
        <v>1.9299959999999998</v>
      </c>
    </row>
    <row r="57" spans="1:11" ht="29.25" customHeight="1" x14ac:dyDescent="0.25">
      <c r="A57" s="254"/>
      <c r="B57" s="118">
        <v>0</v>
      </c>
      <c r="C57" s="7">
        <f t="shared" si="6"/>
        <v>0.48874800000000002</v>
      </c>
      <c r="D57" s="10" t="s">
        <v>66</v>
      </c>
      <c r="E57" s="106">
        <v>1</v>
      </c>
      <c r="F57" s="7">
        <f>407.29*1.2/1000</f>
        <v>0.48874800000000002</v>
      </c>
      <c r="G57" s="106">
        <v>0</v>
      </c>
      <c r="H57" s="106">
        <v>0</v>
      </c>
      <c r="I57" s="10" t="str">
        <f t="shared" si="5"/>
        <v>Щітка для миття телескопічна Auto Assistancе AA1998?98-168 см.</v>
      </c>
      <c r="J57" s="79">
        <v>0</v>
      </c>
      <c r="K57" s="58">
        <f t="shared" si="3"/>
        <v>0.48874800000000002</v>
      </c>
    </row>
    <row r="58" spans="1:11" ht="29.25" customHeight="1" x14ac:dyDescent="0.25">
      <c r="A58" s="254"/>
      <c r="B58" s="118">
        <v>0</v>
      </c>
      <c r="C58" s="7">
        <f t="shared" si="6"/>
        <v>1.0119959999999999</v>
      </c>
      <c r="D58" s="10" t="s">
        <v>67</v>
      </c>
      <c r="E58" s="106">
        <v>1</v>
      </c>
      <c r="F58" s="7">
        <f>843.33*1.2/1000</f>
        <v>1.0119959999999999</v>
      </c>
      <c r="G58" s="106">
        <v>0</v>
      </c>
      <c r="H58" s="106">
        <v>0</v>
      </c>
      <c r="I58" s="10" t="str">
        <f t="shared" si="5"/>
        <v>Труба гафрована E Next (750H)</v>
      </c>
      <c r="J58" s="79">
        <v>0</v>
      </c>
      <c r="K58" s="58">
        <f t="shared" si="3"/>
        <v>1.0119959999999999</v>
      </c>
    </row>
    <row r="59" spans="1:11" ht="29.25" customHeight="1" x14ac:dyDescent="0.25">
      <c r="A59" s="254"/>
      <c r="B59" s="118">
        <v>0</v>
      </c>
      <c r="C59" s="7">
        <f t="shared" si="6"/>
        <v>8.0016000000000004E-2</v>
      </c>
      <c r="D59" s="10" t="s">
        <v>68</v>
      </c>
      <c r="E59" s="106">
        <v>4</v>
      </c>
      <c r="F59" s="7">
        <f>(16.67*1.2/1000)*E59</f>
        <v>8.0016000000000004E-2</v>
      </c>
      <c r="G59" s="106">
        <v>0</v>
      </c>
      <c r="H59" s="106">
        <v>0</v>
      </c>
      <c r="I59" s="10" t="str">
        <f t="shared" si="5"/>
        <v>Дюбель-ялинка (круглий) 16мм уп-20шт.</v>
      </c>
      <c r="J59" s="79">
        <v>0</v>
      </c>
      <c r="K59" s="58">
        <f t="shared" si="3"/>
        <v>8.0016000000000004E-2</v>
      </c>
    </row>
    <row r="60" spans="1:11" ht="29.25" customHeight="1" x14ac:dyDescent="0.25">
      <c r="A60" s="254"/>
      <c r="B60" s="118">
        <v>0</v>
      </c>
      <c r="C60" s="7">
        <f t="shared" si="6"/>
        <v>0.14080999999999999</v>
      </c>
      <c r="D60" s="10" t="s">
        <v>69</v>
      </c>
      <c r="E60" s="106">
        <v>1</v>
      </c>
      <c r="F60" s="7">
        <f>140.81/1000</f>
        <v>0.14080999999999999</v>
      </c>
      <c r="G60" s="106">
        <v>0</v>
      </c>
      <c r="H60" s="106">
        <v>0</v>
      </c>
      <c r="I60" s="10" t="str">
        <f t="shared" si="5"/>
        <v>Розетка 2-на, з з/к зі шток, Schneider Electric Прима Elda сл, кістка</v>
      </c>
      <c r="J60" s="79">
        <v>0</v>
      </c>
      <c r="K60" s="58">
        <f t="shared" si="3"/>
        <v>0.14080999999999999</v>
      </c>
    </row>
    <row r="61" spans="1:11" ht="29.25" customHeight="1" x14ac:dyDescent="0.25">
      <c r="A61" s="254"/>
      <c r="B61" s="118">
        <v>0</v>
      </c>
      <c r="C61" s="7">
        <f t="shared" si="6"/>
        <v>9.2549999999999993E-2</v>
      </c>
      <c r="D61" s="10" t="s">
        <v>70</v>
      </c>
      <c r="E61" s="106">
        <v>1</v>
      </c>
      <c r="F61" s="7">
        <f>92.55/1000</f>
        <v>9.2549999999999993E-2</v>
      </c>
      <c r="G61" s="106">
        <v>0</v>
      </c>
      <c r="H61" s="106">
        <v>0</v>
      </c>
      <c r="I61" s="10" t="str">
        <f t="shared" si="5"/>
        <v>Вимикач 1-кл. зовн. Монт ІР20chneider Electric Прима Elda, біл.</v>
      </c>
      <c r="J61" s="79">
        <v>0</v>
      </c>
      <c r="K61" s="58">
        <f t="shared" si="3"/>
        <v>9.2549999999999993E-2</v>
      </c>
    </row>
    <row r="62" spans="1:11" ht="29.25" customHeight="1" x14ac:dyDescent="0.25">
      <c r="A62" s="254"/>
      <c r="B62" s="118">
        <v>0</v>
      </c>
      <c r="C62" s="7">
        <f t="shared" si="6"/>
        <v>0.17299999999999999</v>
      </c>
      <c r="D62" s="10" t="s">
        <v>71</v>
      </c>
      <c r="E62" s="106">
        <v>1</v>
      </c>
      <c r="F62" s="7">
        <f>173/1000</f>
        <v>0.17299999999999999</v>
      </c>
      <c r="G62" s="106">
        <v>0</v>
      </c>
      <c r="H62" s="106">
        <v>0</v>
      </c>
      <c r="I62" s="10" t="str">
        <f t="shared" si="5"/>
        <v>Автоматичний вимикач модульний E/ Next e/mcb/ stand/ 60/2/ C25, 2p, 25A, C/,6 kA</v>
      </c>
      <c r="J62" s="79">
        <v>0</v>
      </c>
      <c r="K62" s="58">
        <f t="shared" si="3"/>
        <v>0.17299999999999999</v>
      </c>
    </row>
    <row r="63" spans="1:11" ht="29.25" customHeight="1" x14ac:dyDescent="0.25">
      <c r="A63" s="254"/>
      <c r="B63" s="118">
        <v>0</v>
      </c>
      <c r="C63" s="7">
        <f t="shared" si="6"/>
        <v>6.8000000000000005E-2</v>
      </c>
      <c r="D63" s="10" t="s">
        <v>72</v>
      </c>
      <c r="E63" s="106">
        <v>1</v>
      </c>
      <c r="F63" s="7">
        <f>68/1000</f>
        <v>6.8000000000000005E-2</v>
      </c>
      <c r="G63" s="106">
        <v>0</v>
      </c>
      <c r="H63" s="106">
        <v>0</v>
      </c>
      <c r="I63" s="10" t="str">
        <f t="shared" si="5"/>
        <v xml:space="preserve">Автоматичний вимикач E/ Next 1р, В16А 4,5 кА </v>
      </c>
      <c r="J63" s="79">
        <v>0</v>
      </c>
      <c r="K63" s="58">
        <f t="shared" si="3"/>
        <v>6.8000000000000005E-2</v>
      </c>
    </row>
    <row r="64" spans="1:11" ht="29.25" customHeight="1" x14ac:dyDescent="0.25">
      <c r="A64" s="254"/>
      <c r="B64" s="118">
        <v>0</v>
      </c>
      <c r="C64" s="7">
        <f t="shared" si="6"/>
        <v>0.27300000000000002</v>
      </c>
      <c r="D64" s="10" t="s">
        <v>73</v>
      </c>
      <c r="E64" s="106">
        <v>3</v>
      </c>
      <c r="F64" s="7">
        <f>(91/1000)*E64</f>
        <v>0.27300000000000002</v>
      </c>
      <c r="G64" s="106">
        <v>0</v>
      </c>
      <c r="H64" s="106">
        <v>0</v>
      </c>
      <c r="I64" s="10" t="str">
        <f t="shared" si="5"/>
        <v>КолодкаPanasonic-X-temdia 3гн, з зах. Шторками сіра</v>
      </c>
      <c r="J64" s="79">
        <v>0</v>
      </c>
      <c r="K64" s="58">
        <f t="shared" si="3"/>
        <v>0.27300000000000002</v>
      </c>
    </row>
    <row r="65" spans="1:19" ht="29.25" customHeight="1" x14ac:dyDescent="0.25">
      <c r="A65" s="254"/>
      <c r="B65" s="118">
        <v>0</v>
      </c>
      <c r="C65" s="7">
        <f t="shared" si="6"/>
        <v>10.005000000000001</v>
      </c>
      <c r="D65" s="10" t="s">
        <v>74</v>
      </c>
      <c r="E65" s="106">
        <v>1</v>
      </c>
      <c r="F65" s="7">
        <f>10005/1000</f>
        <v>10.005000000000001</v>
      </c>
      <c r="G65" s="106">
        <v>0</v>
      </c>
      <c r="H65" s="106">
        <v>0</v>
      </c>
      <c r="I65" s="10" t="str">
        <f t="shared" si="5"/>
        <v>Конструкція ПВХ №1- двері</v>
      </c>
      <c r="J65" s="79">
        <v>0</v>
      </c>
      <c r="K65" s="58">
        <f t="shared" si="3"/>
        <v>10.005000000000001</v>
      </c>
    </row>
    <row r="66" spans="1:19" ht="29.25" customHeight="1" thickBot="1" x14ac:dyDescent="0.3">
      <c r="A66" s="255"/>
      <c r="B66" s="120">
        <v>0</v>
      </c>
      <c r="C66" s="20">
        <f t="shared" si="6"/>
        <v>15.696999999999999</v>
      </c>
      <c r="D66" s="22" t="s">
        <v>75</v>
      </c>
      <c r="E66" s="115">
        <v>1</v>
      </c>
      <c r="F66" s="20">
        <f>15697/1000</f>
        <v>15.696999999999999</v>
      </c>
      <c r="G66" s="115">
        <v>0</v>
      </c>
      <c r="H66" s="115">
        <v>0</v>
      </c>
      <c r="I66" s="22" t="str">
        <f t="shared" si="5"/>
        <v>Конструкція ПВХ №2- двері</v>
      </c>
      <c r="J66" s="81">
        <v>0</v>
      </c>
      <c r="K66" s="143">
        <f t="shared" si="3"/>
        <v>15.696999999999999</v>
      </c>
    </row>
    <row r="67" spans="1:19" s="6" customFormat="1" ht="44.25" customHeight="1" x14ac:dyDescent="0.3">
      <c r="A67" s="261" t="s">
        <v>216</v>
      </c>
      <c r="B67" s="272" t="s">
        <v>76</v>
      </c>
      <c r="C67" s="273"/>
      <c r="D67" s="273"/>
      <c r="E67" s="274"/>
      <c r="F67" s="16">
        <f>F68+F74+F90+F93+F96+F99+F101+F107+F110+F112+F82</f>
        <v>239.45572999999996</v>
      </c>
      <c r="G67" s="275" t="s">
        <v>76</v>
      </c>
      <c r="H67" s="273"/>
      <c r="I67" s="274"/>
      <c r="J67" s="80">
        <f>J68+J74+J90+J93+J96+J99+J101+J107+J110+J112+J82</f>
        <v>57.946110000000004</v>
      </c>
      <c r="K67" s="56">
        <f>K68+K74+K90+K93+K96+K99+K101+K107+K110+K112+K82</f>
        <v>181.50962000000001</v>
      </c>
      <c r="L67" s="61"/>
      <c r="M67" s="61"/>
      <c r="N67" s="61"/>
      <c r="O67" s="61"/>
      <c r="P67" s="61"/>
      <c r="Q67" s="61"/>
      <c r="R67" s="61"/>
      <c r="S67" s="61"/>
    </row>
    <row r="68" spans="1:19" ht="35.25" customHeight="1" x14ac:dyDescent="0.25">
      <c r="A68" s="254"/>
      <c r="B68" s="264" t="s">
        <v>77</v>
      </c>
      <c r="C68" s="253"/>
      <c r="D68" s="253"/>
      <c r="E68" s="253"/>
      <c r="F68" s="32">
        <f>F69+F70+F71+F72+F73</f>
        <v>22.661519999999999</v>
      </c>
      <c r="G68" s="253" t="s">
        <v>77</v>
      </c>
      <c r="H68" s="253"/>
      <c r="I68" s="253"/>
      <c r="J68" s="137">
        <f>J69+J70+J71+J72+J73</f>
        <v>21.53152</v>
      </c>
      <c r="K68" s="55">
        <f>SUM(K69:K73)</f>
        <v>1.1299999999999999</v>
      </c>
    </row>
    <row r="69" spans="1:19" ht="32.25" customHeight="1" x14ac:dyDescent="0.25">
      <c r="A69" s="254"/>
      <c r="B69" s="118">
        <v>0</v>
      </c>
      <c r="C69" s="7">
        <f>F67:F69</f>
        <v>1.21349</v>
      </c>
      <c r="D69" s="10" t="s">
        <v>78</v>
      </c>
      <c r="E69" s="108">
        <v>0.2</v>
      </c>
      <c r="F69" s="7">
        <f>1213.49/1000</f>
        <v>1.21349</v>
      </c>
      <c r="G69" s="106">
        <v>0</v>
      </c>
      <c r="H69" s="106">
        <v>0</v>
      </c>
      <c r="I69" s="10" t="str">
        <f t="shared" ref="I69:I73" si="7">D69</f>
        <v>Середовище культуральне Flushing Medium 5x60ml, паков</v>
      </c>
      <c r="J69" s="79">
        <f>F69-K69</f>
        <v>1.21349</v>
      </c>
      <c r="K69" s="55">
        <v>0</v>
      </c>
    </row>
    <row r="70" spans="1:19" ht="32.25" customHeight="1" x14ac:dyDescent="0.25">
      <c r="A70" s="254"/>
      <c r="B70" s="118">
        <v>0</v>
      </c>
      <c r="C70" s="7">
        <f t="shared" ref="C70:C73" si="8">F69:F70</f>
        <v>1.9040699999999999</v>
      </c>
      <c r="D70" s="10" t="s">
        <v>79</v>
      </c>
      <c r="E70" s="108">
        <v>0.2</v>
      </c>
      <c r="F70" s="7">
        <f>1904.07/1000</f>
        <v>1.9040699999999999</v>
      </c>
      <c r="G70" s="106">
        <v>0</v>
      </c>
      <c r="H70" s="106">
        <v>0</v>
      </c>
      <c r="I70" s="10" t="str">
        <f t="shared" si="7"/>
        <v>Середовище культуральне ICSI Cumulase 5x0,5ml, паков</v>
      </c>
      <c r="J70" s="79">
        <f>F70-K70</f>
        <v>0.77407000000000004</v>
      </c>
      <c r="K70" s="55">
        <v>1.1299999999999999</v>
      </c>
    </row>
    <row r="71" spans="1:19" ht="32.25" customHeight="1" x14ac:dyDescent="0.25">
      <c r="A71" s="254"/>
      <c r="B71" s="118">
        <v>0</v>
      </c>
      <c r="C71" s="7">
        <f t="shared" si="8"/>
        <v>3.15178</v>
      </c>
      <c r="D71" s="10" t="s">
        <v>80</v>
      </c>
      <c r="E71" s="108">
        <v>1</v>
      </c>
      <c r="F71" s="7">
        <f>3151.78/1000</f>
        <v>3.15178</v>
      </c>
      <c r="G71" s="106">
        <v>0</v>
      </c>
      <c r="H71" s="106">
        <v>0</v>
      </c>
      <c r="I71" s="10" t="str">
        <f t="shared" si="7"/>
        <v>Середовище культуральне UTM Transfer Medium, with phenol red 10 ml, паков</v>
      </c>
      <c r="J71" s="79">
        <f t="shared" ref="J71:J73" si="9">F71-K71</f>
        <v>3.15178</v>
      </c>
      <c r="K71" s="55">
        <v>0</v>
      </c>
    </row>
    <row r="72" spans="1:19" ht="32.25" customHeight="1" x14ac:dyDescent="0.25">
      <c r="A72" s="254"/>
      <c r="B72" s="118">
        <v>0</v>
      </c>
      <c r="C72" s="7">
        <f t="shared" si="8"/>
        <v>5.9071999999999996</v>
      </c>
      <c r="D72" s="10" t="s">
        <v>81</v>
      </c>
      <c r="E72" s="108">
        <v>5</v>
      </c>
      <c r="F72" s="7">
        <f>5907.2/1000</f>
        <v>5.9071999999999996</v>
      </c>
      <c r="G72" s="106">
        <v>0</v>
      </c>
      <c r="H72" s="106">
        <v>0</v>
      </c>
      <c r="I72" s="10" t="str">
        <f t="shared" si="7"/>
        <v>Середовище культуральне ORIGIO Sequential Fert, 10 ml, паков</v>
      </c>
      <c r="J72" s="79">
        <f t="shared" si="9"/>
        <v>5.9071999999999996</v>
      </c>
      <c r="K72" s="55">
        <v>0</v>
      </c>
    </row>
    <row r="73" spans="1:19" ht="32.25" customHeight="1" x14ac:dyDescent="0.25">
      <c r="A73" s="254"/>
      <c r="B73" s="118">
        <v>0</v>
      </c>
      <c r="C73" s="7">
        <f t="shared" si="8"/>
        <v>10.48498</v>
      </c>
      <c r="D73" s="10" t="s">
        <v>82</v>
      </c>
      <c r="E73" s="108">
        <v>5</v>
      </c>
      <c r="F73" s="7">
        <f>10484.98/1000</f>
        <v>10.48498</v>
      </c>
      <c r="G73" s="106">
        <v>0</v>
      </c>
      <c r="H73" s="106">
        <v>0</v>
      </c>
      <c r="I73" s="10" t="str">
        <f t="shared" si="7"/>
        <v>Середовище культуральне SAGE 1-Step™ with Human Serum Albumin 10 ml, паков</v>
      </c>
      <c r="J73" s="79">
        <f t="shared" si="9"/>
        <v>10.48498</v>
      </c>
      <c r="K73" s="55">
        <v>0</v>
      </c>
    </row>
    <row r="74" spans="1:19" ht="41.25" customHeight="1" x14ac:dyDescent="0.25">
      <c r="A74" s="254"/>
      <c r="B74" s="264" t="s">
        <v>77</v>
      </c>
      <c r="C74" s="253"/>
      <c r="D74" s="253"/>
      <c r="E74" s="253"/>
      <c r="F74" s="32">
        <f>F75+F76+F77+F78+F79+F80+F81</f>
        <v>24.92286</v>
      </c>
      <c r="G74" s="253" t="s">
        <v>77</v>
      </c>
      <c r="H74" s="253"/>
      <c r="I74" s="253"/>
      <c r="J74" s="137">
        <f>J75+J76+J77+J78+J79+J80+J81</f>
        <v>13.53641</v>
      </c>
      <c r="K74" s="55">
        <f>SUM(K75:K81)</f>
        <v>11.38645</v>
      </c>
    </row>
    <row r="75" spans="1:19" s="18" customFormat="1" ht="36.75" customHeight="1" x14ac:dyDescent="0.25">
      <c r="A75" s="254"/>
      <c r="B75" s="118">
        <v>0</v>
      </c>
      <c r="C75" s="7">
        <f>F73:F75</f>
        <v>6.3141699999999998</v>
      </c>
      <c r="D75" s="17" t="s">
        <v>82</v>
      </c>
      <c r="E75" s="108">
        <v>3</v>
      </c>
      <c r="F75" s="7">
        <f>6314.17/1000</f>
        <v>6.3141699999999998</v>
      </c>
      <c r="G75" s="106">
        <v>0</v>
      </c>
      <c r="H75" s="106">
        <v>0</v>
      </c>
      <c r="I75" s="10" t="str">
        <f t="shared" ref="I75:I81" si="10">D75</f>
        <v>Середовище культуральне SAGE 1-Step™ with Human Serum Albumin 10 ml, паков</v>
      </c>
      <c r="J75" s="79">
        <f t="shared" ref="J75:J80" si="11">F75-K75</f>
        <v>6.3141699999999998</v>
      </c>
      <c r="K75" s="55">
        <v>0</v>
      </c>
      <c r="L75" s="19"/>
      <c r="M75" s="19"/>
      <c r="N75" s="19"/>
      <c r="O75" s="19"/>
      <c r="P75" s="19"/>
      <c r="Q75" s="19"/>
      <c r="R75" s="19"/>
      <c r="S75" s="19"/>
    </row>
    <row r="76" spans="1:19" s="18" customFormat="1" ht="36.75" customHeight="1" x14ac:dyDescent="0.25">
      <c r="A76" s="254"/>
      <c r="B76" s="118">
        <v>0</v>
      </c>
      <c r="C76" s="7">
        <f t="shared" ref="C76:C81" si="12">F75:F76</f>
        <v>2.3715900000000003</v>
      </c>
      <c r="D76" s="17" t="s">
        <v>81</v>
      </c>
      <c r="E76" s="108">
        <v>2</v>
      </c>
      <c r="F76" s="7">
        <f>2371.59/1000</f>
        <v>2.3715900000000003</v>
      </c>
      <c r="G76" s="106">
        <v>0</v>
      </c>
      <c r="H76" s="106">
        <v>0</v>
      </c>
      <c r="I76" s="10" t="str">
        <f t="shared" si="10"/>
        <v>Середовище культуральне ORIGIO Sequential Fert, 10 ml, паков</v>
      </c>
      <c r="J76" s="79">
        <f t="shared" si="11"/>
        <v>2.3715900000000003</v>
      </c>
      <c r="K76" s="55">
        <v>0</v>
      </c>
      <c r="L76" s="19"/>
      <c r="M76" s="19"/>
      <c r="N76" s="19"/>
      <c r="O76" s="19"/>
      <c r="P76" s="19"/>
      <c r="Q76" s="19"/>
      <c r="R76" s="19"/>
      <c r="S76" s="19"/>
    </row>
    <row r="77" spans="1:19" s="18" customFormat="1" ht="36.75" customHeight="1" x14ac:dyDescent="0.25">
      <c r="A77" s="254"/>
      <c r="B77" s="118">
        <v>0</v>
      </c>
      <c r="C77" s="7">
        <f t="shared" si="12"/>
        <v>3.1633899999999997</v>
      </c>
      <c r="D77" s="17" t="s">
        <v>80</v>
      </c>
      <c r="E77" s="108">
        <v>1</v>
      </c>
      <c r="F77" s="7">
        <f>3163.39/1000</f>
        <v>3.1633899999999997</v>
      </c>
      <c r="G77" s="106">
        <v>0</v>
      </c>
      <c r="H77" s="106">
        <v>0</v>
      </c>
      <c r="I77" s="10" t="str">
        <f t="shared" si="10"/>
        <v>Середовище культуральне UTM Transfer Medium, with phenol red 10 ml, паков</v>
      </c>
      <c r="J77" s="79">
        <f t="shared" si="11"/>
        <v>3.1633899999999997</v>
      </c>
      <c r="K77" s="55">
        <v>0</v>
      </c>
      <c r="L77" s="19"/>
      <c r="M77" s="19"/>
      <c r="N77" s="19"/>
      <c r="O77" s="19"/>
      <c r="P77" s="19"/>
      <c r="Q77" s="19"/>
      <c r="R77" s="19"/>
      <c r="S77" s="19"/>
    </row>
    <row r="78" spans="1:19" s="18" customFormat="1" ht="36.75" customHeight="1" x14ac:dyDescent="0.25">
      <c r="A78" s="254"/>
      <c r="B78" s="118">
        <v>0</v>
      </c>
      <c r="C78" s="7">
        <f t="shared" si="12"/>
        <v>1.2179599999999999</v>
      </c>
      <c r="D78" s="17" t="s">
        <v>78</v>
      </c>
      <c r="E78" s="108">
        <v>0.2</v>
      </c>
      <c r="F78" s="7">
        <f>1217.96/1000</f>
        <v>1.2179599999999999</v>
      </c>
      <c r="G78" s="106">
        <v>0</v>
      </c>
      <c r="H78" s="106">
        <v>0</v>
      </c>
      <c r="I78" s="10" t="str">
        <f t="shared" si="10"/>
        <v>Середовище культуральне Flushing Medium 5x60ml, паков</v>
      </c>
      <c r="J78" s="79">
        <f t="shared" si="11"/>
        <v>1.2179599999999999</v>
      </c>
      <c r="K78" s="55">
        <v>0</v>
      </c>
      <c r="L78" s="19"/>
      <c r="M78" s="19"/>
      <c r="N78" s="19"/>
      <c r="O78" s="19"/>
      <c r="P78" s="19"/>
      <c r="Q78" s="19"/>
      <c r="R78" s="19"/>
      <c r="S78" s="19"/>
    </row>
    <row r="79" spans="1:19" s="18" customFormat="1" ht="36.75" customHeight="1" x14ac:dyDescent="0.25">
      <c r="A79" s="254"/>
      <c r="B79" s="118">
        <v>0</v>
      </c>
      <c r="C79" s="7">
        <f t="shared" si="12"/>
        <v>5.2196999999999996</v>
      </c>
      <c r="D79" s="17" t="s">
        <v>83</v>
      </c>
      <c r="E79" s="108">
        <v>1</v>
      </c>
      <c r="F79" s="7">
        <f>5219.7/1000</f>
        <v>5.2196999999999996</v>
      </c>
      <c r="G79" s="106">
        <v>0</v>
      </c>
      <c r="H79" s="106">
        <v>0</v>
      </c>
      <c r="I79" s="10" t="str">
        <f t="shared" si="10"/>
        <v>Середовище культуральне PVP 10% Ready-To-Use Solution 6x0.5 ml, паков</v>
      </c>
      <c r="J79" s="79">
        <f t="shared" si="11"/>
        <v>1.9699999999999385E-2</v>
      </c>
      <c r="K79" s="55">
        <v>5.2</v>
      </c>
      <c r="L79" s="19"/>
      <c r="M79" s="19"/>
      <c r="N79" s="19"/>
      <c r="O79" s="19"/>
      <c r="P79" s="19"/>
      <c r="Q79" s="19"/>
      <c r="R79" s="19"/>
      <c r="S79" s="19"/>
    </row>
    <row r="80" spans="1:19" s="18" customFormat="1" ht="49.5" customHeight="1" x14ac:dyDescent="0.25">
      <c r="A80" s="254"/>
      <c r="B80" s="118">
        <v>0</v>
      </c>
      <c r="C80" s="7">
        <f t="shared" si="12"/>
        <v>1.0795999999999999</v>
      </c>
      <c r="D80" s="17" t="s">
        <v>84</v>
      </c>
      <c r="E80" s="108">
        <v>0.16600000000000001</v>
      </c>
      <c r="F80" s="7">
        <f>1079.6/1000</f>
        <v>1.0795999999999999</v>
      </c>
      <c r="G80" s="106">
        <v>0</v>
      </c>
      <c r="H80" s="106">
        <v>0</v>
      </c>
      <c r="I80" s="10" t="str">
        <f t="shared" si="10"/>
        <v>Середовища культуральні Quinn`s Advantage Sperm Freezing Medium 6x12ml, паков</v>
      </c>
      <c r="J80" s="79">
        <f t="shared" si="11"/>
        <v>0.44959999999999989</v>
      </c>
      <c r="K80" s="55">
        <v>0.63</v>
      </c>
      <c r="L80" s="19"/>
      <c r="M80" s="19"/>
      <c r="N80" s="19"/>
      <c r="O80" s="19"/>
      <c r="P80" s="19"/>
      <c r="Q80" s="19"/>
      <c r="R80" s="19"/>
      <c r="S80" s="19"/>
    </row>
    <row r="81" spans="1:19" s="18" customFormat="1" ht="36.75" customHeight="1" x14ac:dyDescent="0.25">
      <c r="A81" s="254"/>
      <c r="B81" s="118">
        <v>0</v>
      </c>
      <c r="C81" s="7">
        <f t="shared" si="12"/>
        <v>5.5564499999999999</v>
      </c>
      <c r="D81" s="17" t="s">
        <v>85</v>
      </c>
      <c r="E81" s="108">
        <v>1</v>
      </c>
      <c r="F81" s="7">
        <f>5556.45/1000</f>
        <v>5.5564499999999999</v>
      </c>
      <c r="G81" s="106">
        <v>0</v>
      </c>
      <c r="H81" s="106">
        <v>0</v>
      </c>
      <c r="I81" s="10" t="str">
        <f t="shared" si="10"/>
        <v>STRIPPER® наконечник 1000µm, паков</v>
      </c>
      <c r="J81" s="79">
        <f>F81-K81</f>
        <v>0</v>
      </c>
      <c r="K81" s="55">
        <f>F81</f>
        <v>5.5564499999999999</v>
      </c>
      <c r="L81" s="19"/>
      <c r="M81" s="19"/>
      <c r="N81" s="19"/>
      <c r="O81" s="19"/>
      <c r="P81" s="19"/>
      <c r="Q81" s="19"/>
      <c r="R81" s="19"/>
      <c r="S81" s="19"/>
    </row>
    <row r="82" spans="1:19" s="19" customFormat="1" ht="39" customHeight="1" x14ac:dyDescent="0.25">
      <c r="A82" s="254"/>
      <c r="B82" s="264" t="s">
        <v>77</v>
      </c>
      <c r="C82" s="253"/>
      <c r="D82" s="253"/>
      <c r="E82" s="253"/>
      <c r="F82" s="32">
        <f>F83+F84+F85+F86+F87+F88+F89</f>
        <v>55.693809999999999</v>
      </c>
      <c r="G82" s="253" t="s">
        <v>77</v>
      </c>
      <c r="H82" s="253"/>
      <c r="I82" s="253"/>
      <c r="J82" s="137">
        <f>J83+J84+J85+J86+J87+J88+J89</f>
        <v>19.59552</v>
      </c>
      <c r="K82" s="55">
        <f>SUM(K83:K89)</f>
        <v>36.098289999999999</v>
      </c>
    </row>
    <row r="83" spans="1:19" s="19" customFormat="1" ht="46.5" customHeight="1" x14ac:dyDescent="0.25">
      <c r="A83" s="254"/>
      <c r="B83" s="118">
        <v>0</v>
      </c>
      <c r="C83" s="7">
        <f t="shared" ref="C83:C89" si="13">F82:F83</f>
        <v>4.9517899999999999</v>
      </c>
      <c r="D83" s="17" t="s">
        <v>80</v>
      </c>
      <c r="E83" s="109">
        <v>2</v>
      </c>
      <c r="F83" s="7">
        <f>4951.79/1000</f>
        <v>4.9517899999999999</v>
      </c>
      <c r="G83" s="106">
        <v>0</v>
      </c>
      <c r="H83" s="106">
        <v>0</v>
      </c>
      <c r="I83" s="10" t="str">
        <f t="shared" ref="I83:I89" si="14">D83</f>
        <v>Середовище культуральне UTM Transfer Medium, with phenol red 10 ml, паков</v>
      </c>
      <c r="J83" s="79">
        <f t="shared" ref="J83:J88" si="15">F83-K83</f>
        <v>1.8317899999999998</v>
      </c>
      <c r="K83" s="55">
        <v>3.12</v>
      </c>
    </row>
    <row r="84" spans="1:19" s="19" customFormat="1" ht="37.5" customHeight="1" x14ac:dyDescent="0.25">
      <c r="A84" s="254"/>
      <c r="B84" s="118">
        <v>0</v>
      </c>
      <c r="C84" s="7">
        <f t="shared" si="13"/>
        <v>2.8594200000000001</v>
      </c>
      <c r="D84" s="17" t="s">
        <v>78</v>
      </c>
      <c r="E84" s="109">
        <v>0.6</v>
      </c>
      <c r="F84" s="7">
        <f>2859.42/1000</f>
        <v>2.8594200000000001</v>
      </c>
      <c r="G84" s="106">
        <v>0</v>
      </c>
      <c r="H84" s="106">
        <v>0</v>
      </c>
      <c r="I84" s="10" t="str">
        <f t="shared" si="14"/>
        <v>Середовище культуральне Flushing Medium 5x60ml, паков</v>
      </c>
      <c r="J84" s="79">
        <f t="shared" si="15"/>
        <v>1.6694200000000001</v>
      </c>
      <c r="K84" s="55">
        <v>1.19</v>
      </c>
    </row>
    <row r="85" spans="1:19" s="19" customFormat="1" ht="37.5" customHeight="1" x14ac:dyDescent="0.25">
      <c r="A85" s="254"/>
      <c r="B85" s="118">
        <v>0</v>
      </c>
      <c r="C85" s="7">
        <f t="shared" si="13"/>
        <v>7.4269999999999996</v>
      </c>
      <c r="D85" s="17" t="s">
        <v>81</v>
      </c>
      <c r="E85" s="109">
        <v>8</v>
      </c>
      <c r="F85" s="7">
        <f>7427/1000</f>
        <v>7.4269999999999996</v>
      </c>
      <c r="G85" s="106">
        <v>0</v>
      </c>
      <c r="H85" s="106">
        <v>0</v>
      </c>
      <c r="I85" s="10" t="str">
        <f t="shared" si="14"/>
        <v>Середовище культуральне ORIGIO Sequential Fert, 10 ml, паков</v>
      </c>
      <c r="J85" s="79">
        <f t="shared" si="15"/>
        <v>7.4269999999999996</v>
      </c>
      <c r="K85" s="55">
        <v>0</v>
      </c>
    </row>
    <row r="86" spans="1:19" s="19" customFormat="1" ht="37.5" customHeight="1" x14ac:dyDescent="0.25">
      <c r="A86" s="254"/>
      <c r="B86" s="118">
        <v>0</v>
      </c>
      <c r="C86" s="7">
        <f t="shared" si="13"/>
        <v>8.0869599999999995</v>
      </c>
      <c r="D86" s="31" t="s">
        <v>86</v>
      </c>
      <c r="E86" s="109">
        <v>1</v>
      </c>
      <c r="F86" s="7">
        <f>8086.96/1000</f>
        <v>8.0869599999999995</v>
      </c>
      <c r="G86" s="106">
        <v>0</v>
      </c>
      <c r="H86" s="106">
        <v>0</v>
      </c>
      <c r="I86" s="10" t="str">
        <f t="shared" si="14"/>
        <v>ORIGIO Sperm Wash 10 x 10ml, паков</v>
      </c>
      <c r="J86" s="79">
        <f t="shared" si="15"/>
        <v>0</v>
      </c>
      <c r="K86" s="55">
        <f>F86</f>
        <v>8.0869599999999995</v>
      </c>
    </row>
    <row r="87" spans="1:19" s="19" customFormat="1" ht="51" customHeight="1" x14ac:dyDescent="0.25">
      <c r="A87" s="254"/>
      <c r="B87" s="118">
        <v>0</v>
      </c>
      <c r="C87" s="7">
        <f t="shared" si="13"/>
        <v>12.45215</v>
      </c>
      <c r="D87" s="17" t="s">
        <v>82</v>
      </c>
      <c r="E87" s="109">
        <v>8</v>
      </c>
      <c r="F87" s="7">
        <f>12452.15/1000</f>
        <v>12.45215</v>
      </c>
      <c r="G87" s="106">
        <v>0</v>
      </c>
      <c r="H87" s="106">
        <v>0</v>
      </c>
      <c r="I87" s="10" t="str">
        <f t="shared" si="14"/>
        <v>Середовище культуральне SAGE 1-Step™ with Human Serum Albumin 10 ml, паков</v>
      </c>
      <c r="J87" s="79">
        <f t="shared" si="15"/>
        <v>2.7721499999999999</v>
      </c>
      <c r="K87" s="55">
        <v>9.68</v>
      </c>
    </row>
    <row r="88" spans="1:19" s="19" customFormat="1" ht="48.75" customHeight="1" x14ac:dyDescent="0.25">
      <c r="A88" s="254"/>
      <c r="B88" s="118">
        <v>0</v>
      </c>
      <c r="C88" s="7">
        <f t="shared" si="13"/>
        <v>15.565160000000001</v>
      </c>
      <c r="D88" s="17" t="s">
        <v>87</v>
      </c>
      <c r="E88" s="109">
        <v>1</v>
      </c>
      <c r="F88" s="7">
        <f>15565.16/1000</f>
        <v>15.565160000000001</v>
      </c>
      <c r="G88" s="106">
        <v>0</v>
      </c>
      <c r="H88" s="106">
        <v>0</v>
      </c>
      <c r="I88" s="10" t="str">
        <f t="shared" si="14"/>
        <v>Середовища культуральні PureCeption 24-Determination By-Layer Kit 12 x 12 ml, паков</v>
      </c>
      <c r="J88" s="79">
        <f t="shared" si="15"/>
        <v>5.8951600000000006</v>
      </c>
      <c r="K88" s="55">
        <v>9.67</v>
      </c>
    </row>
    <row r="89" spans="1:19" s="19" customFormat="1" ht="37.5" customHeight="1" thickBot="1" x14ac:dyDescent="0.3">
      <c r="A89" s="255"/>
      <c r="B89" s="120">
        <v>0</v>
      </c>
      <c r="C89" s="20">
        <f t="shared" si="13"/>
        <v>4.3513299999999999</v>
      </c>
      <c r="D89" s="36" t="s">
        <v>85</v>
      </c>
      <c r="E89" s="154">
        <v>1</v>
      </c>
      <c r="F89" s="20">
        <f>4351.33/1000</f>
        <v>4.3513299999999999</v>
      </c>
      <c r="G89" s="115">
        <v>0</v>
      </c>
      <c r="H89" s="115">
        <v>0</v>
      </c>
      <c r="I89" s="22" t="str">
        <f t="shared" si="14"/>
        <v>STRIPPER® наконечник 1000µm, паков</v>
      </c>
      <c r="J89" s="81">
        <f>F89-K89</f>
        <v>0</v>
      </c>
      <c r="K89" s="54">
        <f>F89</f>
        <v>4.3513299999999999</v>
      </c>
    </row>
    <row r="90" spans="1:19" ht="40.5" customHeight="1" x14ac:dyDescent="0.25">
      <c r="A90" s="261" t="s">
        <v>216</v>
      </c>
      <c r="B90" s="262" t="s">
        <v>77</v>
      </c>
      <c r="C90" s="263"/>
      <c r="D90" s="263"/>
      <c r="E90" s="263"/>
      <c r="F90" s="16">
        <f>F91+F92</f>
        <v>13.103530000000001</v>
      </c>
      <c r="G90" s="263" t="s">
        <v>77</v>
      </c>
      <c r="H90" s="263"/>
      <c r="I90" s="263"/>
      <c r="J90" s="84">
        <f t="shared" ref="J90:J97" si="16">F90-K90</f>
        <v>0</v>
      </c>
      <c r="K90" s="59">
        <f>SUM(K91:K92)</f>
        <v>13.103530000000001</v>
      </c>
    </row>
    <row r="91" spans="1:19" ht="37.5" customHeight="1" x14ac:dyDescent="0.25">
      <c r="A91" s="254"/>
      <c r="B91" s="118">
        <v>0</v>
      </c>
      <c r="C91" s="7">
        <f>F81:F91</f>
        <v>8.4191200000000013</v>
      </c>
      <c r="D91" s="10" t="s">
        <v>88</v>
      </c>
      <c r="E91" s="108">
        <v>1</v>
      </c>
      <c r="F91" s="7">
        <f>8419.12/1000</f>
        <v>8.4191200000000013</v>
      </c>
      <c r="G91" s="106">
        <v>0</v>
      </c>
      <c r="H91" s="106">
        <v>0</v>
      </c>
      <c r="I91" s="10" t="str">
        <f t="shared" ref="I91:I92" si="17">D91</f>
        <v>205 Середовища для розморожування (14,4 мл), шт</v>
      </c>
      <c r="J91" s="79">
        <f t="shared" si="16"/>
        <v>0</v>
      </c>
      <c r="K91" s="55">
        <f>F91</f>
        <v>8.4191200000000013</v>
      </c>
    </row>
    <row r="92" spans="1:19" ht="43.5" customHeight="1" x14ac:dyDescent="0.25">
      <c r="A92" s="254"/>
      <c r="B92" s="118">
        <v>0</v>
      </c>
      <c r="C92" s="7">
        <f t="shared" ref="C92" si="18">F91:F92</f>
        <v>4.6844099999999997</v>
      </c>
      <c r="D92" s="10" t="s">
        <v>89</v>
      </c>
      <c r="E92" s="108">
        <v>1</v>
      </c>
      <c r="F92" s="7">
        <f>4684.41/1000</f>
        <v>4.6844099999999997</v>
      </c>
      <c r="G92" s="106">
        <v>0</v>
      </c>
      <c r="H92" s="106">
        <v>0</v>
      </c>
      <c r="I92" s="10" t="str">
        <f t="shared" si="17"/>
        <v>WP Пластикова чашка для вітрифікації (10 од/уп), паков</v>
      </c>
      <c r="J92" s="79">
        <f t="shared" si="16"/>
        <v>0</v>
      </c>
      <c r="K92" s="55">
        <f>F92</f>
        <v>4.6844099999999997</v>
      </c>
    </row>
    <row r="93" spans="1:19" ht="37.5" customHeight="1" x14ac:dyDescent="0.25">
      <c r="A93" s="254"/>
      <c r="B93" s="264" t="s">
        <v>77</v>
      </c>
      <c r="C93" s="253"/>
      <c r="D93" s="253"/>
      <c r="E93" s="253"/>
      <c r="F93" s="32">
        <f>F94+F95</f>
        <v>13.816140000000001</v>
      </c>
      <c r="G93" s="253" t="s">
        <v>77</v>
      </c>
      <c r="H93" s="253"/>
      <c r="I93" s="253"/>
      <c r="J93" s="79">
        <f t="shared" si="16"/>
        <v>0</v>
      </c>
      <c r="K93" s="55">
        <f>SUM(K94:K95)</f>
        <v>13.816140000000001</v>
      </c>
    </row>
    <row r="94" spans="1:19" ht="39.75" customHeight="1" x14ac:dyDescent="0.25">
      <c r="A94" s="254"/>
      <c r="B94" s="118">
        <v>0</v>
      </c>
      <c r="C94" s="7">
        <f>F92:F94</f>
        <v>5.8286300000000004</v>
      </c>
      <c r="D94" s="10" t="s">
        <v>90</v>
      </c>
      <c r="E94" s="108">
        <v>1</v>
      </c>
      <c r="F94" s="7">
        <f>5828.63/1000</f>
        <v>5.8286300000000004</v>
      </c>
      <c r="G94" s="106">
        <v>0</v>
      </c>
      <c r="H94" s="106">
        <v>0</v>
      </c>
      <c r="I94" s="10" t="str">
        <f t="shared" ref="I94:I95" si="19">D94</f>
        <v>SPD-30 Мікропіпетки для часткового розсічення зони пелюсіда, з кутом 30° (10 од/уп)</v>
      </c>
      <c r="J94" s="79">
        <f t="shared" si="16"/>
        <v>0</v>
      </c>
      <c r="K94" s="55">
        <f>F94</f>
        <v>5.8286300000000004</v>
      </c>
    </row>
    <row r="95" spans="1:19" ht="39.75" customHeight="1" x14ac:dyDescent="0.25">
      <c r="A95" s="254"/>
      <c r="B95" s="118">
        <v>0</v>
      </c>
      <c r="C95" s="7">
        <f t="shared" ref="C95" si="20">F94:F95</f>
        <v>7.9875100000000003</v>
      </c>
      <c r="D95" s="10" t="s">
        <v>91</v>
      </c>
      <c r="E95" s="108">
        <v>1</v>
      </c>
      <c r="F95" s="7">
        <f>7987.51/1000</f>
        <v>7.9875100000000003</v>
      </c>
      <c r="G95" s="106">
        <v>0</v>
      </c>
      <c r="H95" s="106">
        <v>0</v>
      </c>
      <c r="I95" s="10" t="str">
        <f t="shared" si="19"/>
        <v>SIC-50W-35 Інжекторні мікропіпетки для проведення ІКСІ ID:5,0 мм/35° (10 од/уп)</v>
      </c>
      <c r="J95" s="79">
        <f t="shared" si="16"/>
        <v>0</v>
      </c>
      <c r="K95" s="55">
        <f>F95</f>
        <v>7.9875100000000003</v>
      </c>
    </row>
    <row r="96" spans="1:19" ht="36" customHeight="1" x14ac:dyDescent="0.25">
      <c r="A96" s="254"/>
      <c r="B96" s="264" t="s">
        <v>77</v>
      </c>
      <c r="C96" s="253"/>
      <c r="D96" s="253"/>
      <c r="E96" s="253"/>
      <c r="F96" s="32">
        <f>F97+F98</f>
        <v>16.31775</v>
      </c>
      <c r="G96" s="253" t="s">
        <v>77</v>
      </c>
      <c r="H96" s="253"/>
      <c r="I96" s="253"/>
      <c r="J96" s="79">
        <f t="shared" si="16"/>
        <v>0</v>
      </c>
      <c r="K96" s="55">
        <f>SUM(K97:K98)</f>
        <v>16.31775</v>
      </c>
    </row>
    <row r="97" spans="1:11" ht="54.75" customHeight="1" x14ac:dyDescent="0.25">
      <c r="A97" s="254"/>
      <c r="B97" s="118">
        <v>0</v>
      </c>
      <c r="C97" s="7">
        <f>F95:F97</f>
        <v>10.66662</v>
      </c>
      <c r="D97" s="10" t="s">
        <v>92</v>
      </c>
      <c r="E97" s="106">
        <v>10</v>
      </c>
      <c r="F97" s="7">
        <f>(1066.662/1000)*E97</f>
        <v>10.66662</v>
      </c>
      <c r="G97" s="106">
        <v>0</v>
      </c>
      <c r="H97" s="106">
        <v>0</v>
      </c>
      <c r="I97" s="10" t="str">
        <f t="shared" ref="I97:I98" si="21">D97</f>
        <v>K-JETS-7019 Вигнутий катетер для переносу ембріонів, трансферний катетер 2.8Fr-24cm та навігаційний катетер 6.6Fr-17.3cm, шт</v>
      </c>
      <c r="J97" s="79">
        <f t="shared" si="16"/>
        <v>0</v>
      </c>
      <c r="K97" s="55">
        <f>F97</f>
        <v>10.66662</v>
      </c>
    </row>
    <row r="98" spans="1:11" ht="54.75" customHeight="1" x14ac:dyDescent="0.25">
      <c r="A98" s="254"/>
      <c r="B98" s="118">
        <v>0</v>
      </c>
      <c r="C98" s="7">
        <f t="shared" ref="C98" si="22">F97:F98</f>
        <v>5.6511300000000002</v>
      </c>
      <c r="D98" s="10" t="s">
        <v>93</v>
      </c>
      <c r="E98" s="106">
        <v>1</v>
      </c>
      <c r="F98" s="7">
        <f>5651.13/1000</f>
        <v>5.6511300000000002</v>
      </c>
      <c r="G98" s="106">
        <v>0</v>
      </c>
      <c r="H98" s="106">
        <v>0</v>
      </c>
      <c r="I98" s="10" t="str">
        <f t="shared" si="21"/>
        <v>K-HPIP-1035 Холдінгові мікропіпетки для проведення ІКСІ вн.діаметр 17µm зовнішній діаметр 80µm та кутом 35 градусів, 10 од. в упаковці, паков</v>
      </c>
      <c r="J98" s="79">
        <f>F98-K98</f>
        <v>0</v>
      </c>
      <c r="K98" s="55">
        <f>F98</f>
        <v>5.6511300000000002</v>
      </c>
    </row>
    <row r="99" spans="1:11" ht="34.5" customHeight="1" x14ac:dyDescent="0.25">
      <c r="A99" s="254"/>
      <c r="B99" s="264" t="s">
        <v>77</v>
      </c>
      <c r="C99" s="253"/>
      <c r="D99" s="253"/>
      <c r="E99" s="253"/>
      <c r="F99" s="32">
        <f>F100</f>
        <v>0.21587999999999999</v>
      </c>
      <c r="G99" s="253" t="s">
        <v>77</v>
      </c>
      <c r="H99" s="253"/>
      <c r="I99" s="253"/>
      <c r="J99" s="137">
        <f>J100</f>
        <v>3.9879999999999999E-2</v>
      </c>
      <c r="K99" s="55">
        <f>SUM(K100)</f>
        <v>0.17599999999999999</v>
      </c>
    </row>
    <row r="100" spans="1:11" x14ac:dyDescent="0.25">
      <c r="A100" s="254"/>
      <c r="B100" s="118">
        <v>0</v>
      </c>
      <c r="C100" s="7">
        <f>F98:F100</f>
        <v>0.21587999999999999</v>
      </c>
      <c r="D100" s="10" t="s">
        <v>94</v>
      </c>
      <c r="E100" s="106">
        <v>10</v>
      </c>
      <c r="F100" s="7">
        <f>215.88/1000</f>
        <v>0.21587999999999999</v>
      </c>
      <c r="G100" s="106">
        <v>0</v>
      </c>
      <c r="H100" s="106">
        <v>0</v>
      </c>
      <c r="I100" s="10" t="str">
        <f t="shared" ref="I100:I115" si="23">D100</f>
        <v>OOPW-IC06 Oosafe 50 мм чашка, тонка стінка, необроблена поверхня, шт.</v>
      </c>
      <c r="J100" s="79">
        <f>F100-K100</f>
        <v>3.9879999999999999E-2</v>
      </c>
      <c r="K100" s="55">
        <v>0.17599999999999999</v>
      </c>
    </row>
    <row r="101" spans="1:11" ht="42" customHeight="1" x14ac:dyDescent="0.25">
      <c r="A101" s="254"/>
      <c r="B101" s="264" t="s">
        <v>77</v>
      </c>
      <c r="C101" s="253"/>
      <c r="D101" s="253"/>
      <c r="E101" s="253"/>
      <c r="F101" s="32">
        <f>F102+F103+F104+F105+F106</f>
        <v>22.802759999999999</v>
      </c>
      <c r="G101" s="253" t="s">
        <v>77</v>
      </c>
      <c r="H101" s="253"/>
      <c r="I101" s="253"/>
      <c r="J101" s="137">
        <f>J102+J103+J104+J105+J106</f>
        <v>3.2427800000000016</v>
      </c>
      <c r="K101" s="55">
        <f>SUM(K102:K106)</f>
        <v>19.559979999999999</v>
      </c>
    </row>
    <row r="102" spans="1:11" x14ac:dyDescent="0.25">
      <c r="A102" s="254"/>
      <c r="B102" s="118">
        <v>0</v>
      </c>
      <c r="C102" s="7">
        <f>F100:F102</f>
        <v>3.1444200000000002</v>
      </c>
      <c r="D102" s="10" t="s">
        <v>80</v>
      </c>
      <c r="E102" s="108">
        <v>1</v>
      </c>
      <c r="F102" s="7">
        <f>3144.42/1000</f>
        <v>3.1444200000000002</v>
      </c>
      <c r="G102" s="106">
        <v>0</v>
      </c>
      <c r="H102" s="106">
        <v>0</v>
      </c>
      <c r="I102" s="10" t="str">
        <f t="shared" si="23"/>
        <v>Середовище культуральне UTM Transfer Medium, with phenol red 10 ml, паков</v>
      </c>
      <c r="J102" s="79">
        <f t="shared" ref="J102:J105" si="24">F102-K102</f>
        <v>0</v>
      </c>
      <c r="K102" s="55">
        <f>F102</f>
        <v>3.1444200000000002</v>
      </c>
    </row>
    <row r="103" spans="1:11" ht="32.25" customHeight="1" x14ac:dyDescent="0.25">
      <c r="A103" s="254"/>
      <c r="B103" s="118">
        <v>0</v>
      </c>
      <c r="C103" s="7">
        <f t="shared" ref="C103:C115" si="25">F102:F103</f>
        <v>1.21065</v>
      </c>
      <c r="D103" s="10" t="s">
        <v>78</v>
      </c>
      <c r="E103" s="108">
        <v>0.2</v>
      </c>
      <c r="F103" s="7">
        <f>1210.65/1000</f>
        <v>1.21065</v>
      </c>
      <c r="G103" s="106">
        <v>0</v>
      </c>
      <c r="H103" s="106">
        <v>0</v>
      </c>
      <c r="I103" s="10" t="str">
        <f t="shared" si="23"/>
        <v>Середовище культуральне Flushing Medium 5x60ml, паков</v>
      </c>
      <c r="J103" s="79">
        <f t="shared" si="24"/>
        <v>0</v>
      </c>
      <c r="K103" s="55">
        <f>F103</f>
        <v>1.21065</v>
      </c>
    </row>
    <row r="104" spans="1:11" ht="32.25" customHeight="1" x14ac:dyDescent="0.25">
      <c r="A104" s="254"/>
      <c r="B104" s="118">
        <v>0</v>
      </c>
      <c r="C104" s="7">
        <f t="shared" si="25"/>
        <v>1.8996199999999999</v>
      </c>
      <c r="D104" s="10" t="s">
        <v>79</v>
      </c>
      <c r="E104" s="108">
        <v>0.2</v>
      </c>
      <c r="F104" s="7">
        <f>1899.62/1000</f>
        <v>1.8996199999999999</v>
      </c>
      <c r="G104" s="106">
        <v>0</v>
      </c>
      <c r="H104" s="106">
        <v>0</v>
      </c>
      <c r="I104" s="10" t="str">
        <f t="shared" si="23"/>
        <v>Середовище культуральне ICSI Cumulase 5x0,5ml, паков</v>
      </c>
      <c r="J104" s="79">
        <f t="shared" si="24"/>
        <v>0</v>
      </c>
      <c r="K104" s="55">
        <f>F104</f>
        <v>1.8996199999999999</v>
      </c>
    </row>
    <row r="105" spans="1:11" ht="32.25" customHeight="1" x14ac:dyDescent="0.25">
      <c r="A105" s="254"/>
      <c r="B105" s="118">
        <v>0</v>
      </c>
      <c r="C105" s="7">
        <f t="shared" si="25"/>
        <v>6.2762900000000004</v>
      </c>
      <c r="D105" s="10" t="s">
        <v>82</v>
      </c>
      <c r="E105" s="108">
        <v>3</v>
      </c>
      <c r="F105" s="7">
        <f>6276.29/1000</f>
        <v>6.2762900000000004</v>
      </c>
      <c r="G105" s="106">
        <v>0</v>
      </c>
      <c r="H105" s="106">
        <v>0</v>
      </c>
      <c r="I105" s="10" t="str">
        <f t="shared" si="23"/>
        <v>Середовище культуральне SAGE 1-Step™ with Human Serum Albumin 10 ml, паков</v>
      </c>
      <c r="J105" s="79">
        <f t="shared" si="24"/>
        <v>0</v>
      </c>
      <c r="K105" s="55">
        <f>F105</f>
        <v>6.2762900000000004</v>
      </c>
    </row>
    <row r="106" spans="1:11" ht="32.25" customHeight="1" x14ac:dyDescent="0.25">
      <c r="A106" s="254"/>
      <c r="B106" s="118">
        <v>0</v>
      </c>
      <c r="C106" s="7">
        <f t="shared" si="25"/>
        <v>10.271780000000001</v>
      </c>
      <c r="D106" s="10" t="s">
        <v>81</v>
      </c>
      <c r="E106" s="108">
        <v>1</v>
      </c>
      <c r="F106" s="7">
        <f>10271.78/1000</f>
        <v>10.271780000000001</v>
      </c>
      <c r="G106" s="106">
        <v>0</v>
      </c>
      <c r="H106" s="106">
        <v>0</v>
      </c>
      <c r="I106" s="10" t="str">
        <f t="shared" si="23"/>
        <v>Середовище культуральне ORIGIO Sequential Fert, 10 ml, паков</v>
      </c>
      <c r="J106" s="79">
        <f>F106-K106</f>
        <v>3.2427800000000016</v>
      </c>
      <c r="K106" s="55">
        <v>7.0289999999999999</v>
      </c>
    </row>
    <row r="107" spans="1:11" ht="44.25" customHeight="1" x14ac:dyDescent="0.25">
      <c r="A107" s="254"/>
      <c r="B107" s="264" t="s">
        <v>77</v>
      </c>
      <c r="C107" s="253"/>
      <c r="D107" s="253"/>
      <c r="E107" s="253"/>
      <c r="F107" s="32">
        <f>F108+F109</f>
        <v>22.30799</v>
      </c>
      <c r="G107" s="253" t="s">
        <v>77</v>
      </c>
      <c r="H107" s="253"/>
      <c r="I107" s="253"/>
      <c r="J107" s="137">
        <f t="shared" ref="J107:J113" si="26">F107-K107</f>
        <v>0</v>
      </c>
      <c r="K107" s="55">
        <f>SUM(K108:K109)</f>
        <v>22.30799</v>
      </c>
    </row>
    <row r="108" spans="1:11" ht="32.25" customHeight="1" x14ac:dyDescent="0.25">
      <c r="A108" s="254"/>
      <c r="B108" s="118">
        <v>0</v>
      </c>
      <c r="C108" s="7">
        <f>F106:F108</f>
        <v>8.58</v>
      </c>
      <c r="D108" s="10" t="s">
        <v>88</v>
      </c>
      <c r="E108" s="9">
        <v>1</v>
      </c>
      <c r="F108" s="7">
        <f>8580/1000</f>
        <v>8.58</v>
      </c>
      <c r="G108" s="106">
        <v>0</v>
      </c>
      <c r="H108" s="106">
        <v>0</v>
      </c>
      <c r="I108" s="10" t="str">
        <f t="shared" si="23"/>
        <v>205 Середовища для розморожування (14,4 мл), шт</v>
      </c>
      <c r="J108" s="79">
        <f t="shared" si="26"/>
        <v>0</v>
      </c>
      <c r="K108" s="55">
        <f>F108</f>
        <v>8.58</v>
      </c>
    </row>
    <row r="109" spans="1:11" ht="32.25" customHeight="1" x14ac:dyDescent="0.25">
      <c r="A109" s="254"/>
      <c r="B109" s="118">
        <v>0</v>
      </c>
      <c r="C109" s="7">
        <f t="shared" si="25"/>
        <v>13.72799</v>
      </c>
      <c r="D109" s="10" t="s">
        <v>95</v>
      </c>
      <c r="E109" s="9">
        <v>2</v>
      </c>
      <c r="F109" s="7">
        <f>13727.99/1000</f>
        <v>13.72799</v>
      </c>
      <c r="G109" s="106">
        <v>0</v>
      </c>
      <c r="H109" s="106">
        <v>0</v>
      </c>
      <c r="I109" s="10" t="str">
        <f t="shared" si="23"/>
        <v>CR Соломини для вітрифікації (заморожування) Cryotec (10 од/уп), паков</v>
      </c>
      <c r="J109" s="79">
        <f t="shared" si="26"/>
        <v>0</v>
      </c>
      <c r="K109" s="55">
        <f>F109</f>
        <v>13.72799</v>
      </c>
    </row>
    <row r="110" spans="1:11" ht="33" customHeight="1" x14ac:dyDescent="0.25">
      <c r="A110" s="254"/>
      <c r="B110" s="264" t="s">
        <v>77</v>
      </c>
      <c r="C110" s="253"/>
      <c r="D110" s="253"/>
      <c r="E110" s="253"/>
      <c r="F110" s="32">
        <f>F111</f>
        <v>7.92</v>
      </c>
      <c r="G110" s="253" t="s">
        <v>77</v>
      </c>
      <c r="H110" s="253"/>
      <c r="I110" s="253"/>
      <c r="J110" s="137">
        <f t="shared" si="26"/>
        <v>0</v>
      </c>
      <c r="K110" s="55">
        <f>SUM(K111)</f>
        <v>7.92</v>
      </c>
    </row>
    <row r="111" spans="1:11" x14ac:dyDescent="0.25">
      <c r="A111" s="254"/>
      <c r="B111" s="118">
        <v>0</v>
      </c>
      <c r="C111" s="7">
        <f>F109:F111</f>
        <v>7.92</v>
      </c>
      <c r="D111" s="17" t="s">
        <v>96</v>
      </c>
      <c r="E111" s="110">
        <v>1</v>
      </c>
      <c r="F111" s="7">
        <f>7920/1000</f>
        <v>7.92</v>
      </c>
      <c r="G111" s="106">
        <v>0</v>
      </c>
      <c r="H111" s="106">
        <v>0</v>
      </c>
      <c r="I111" s="10" t="str">
        <f t="shared" si="23"/>
        <v>SIC-50W-35 Інжекторні мікропіпетки для проведення ІКСІ ID:5,0 мм/35° (10 од/уп)</v>
      </c>
      <c r="J111" s="79">
        <f t="shared" si="26"/>
        <v>0</v>
      </c>
      <c r="K111" s="55">
        <f>F111</f>
        <v>7.92</v>
      </c>
    </row>
    <row r="112" spans="1:11" ht="33" customHeight="1" x14ac:dyDescent="0.25">
      <c r="A112" s="254"/>
      <c r="B112" s="264" t="s">
        <v>77</v>
      </c>
      <c r="C112" s="253"/>
      <c r="D112" s="253"/>
      <c r="E112" s="253"/>
      <c r="F112" s="32">
        <f>F113+F114+F115</f>
        <v>39.693490000000004</v>
      </c>
      <c r="G112" s="253" t="s">
        <v>77</v>
      </c>
      <c r="H112" s="253"/>
      <c r="I112" s="253"/>
      <c r="J112" s="137">
        <f t="shared" si="26"/>
        <v>0</v>
      </c>
      <c r="K112" s="55">
        <f>SUM(K113:K115)</f>
        <v>39.693490000000004</v>
      </c>
    </row>
    <row r="113" spans="1:19" ht="52.5" customHeight="1" x14ac:dyDescent="0.25">
      <c r="A113" s="254"/>
      <c r="B113" s="118">
        <v>0</v>
      </c>
      <c r="C113" s="7">
        <f>F111:F113</f>
        <v>8.1177899999999994</v>
      </c>
      <c r="D113" s="17" t="s">
        <v>97</v>
      </c>
      <c r="E113" s="110">
        <v>1</v>
      </c>
      <c r="F113" s="7">
        <f>8117.79/1000</f>
        <v>8.1177899999999994</v>
      </c>
      <c r="G113" s="106">
        <v>0</v>
      </c>
      <c r="H113" s="106">
        <v>0</v>
      </c>
      <c r="I113" s="10" t="str">
        <f t="shared" si="23"/>
        <v>K-FPIP-1300-10BS-5 Піпетки для денудації 300 мікрон 5 туб по 10 піпеток (50од./уп.), паков</v>
      </c>
      <c r="J113" s="79">
        <f t="shared" si="26"/>
        <v>0</v>
      </c>
      <c r="K113" s="55">
        <f>F113</f>
        <v>8.1177899999999994</v>
      </c>
    </row>
    <row r="114" spans="1:19" ht="52.5" customHeight="1" x14ac:dyDescent="0.25">
      <c r="A114" s="254"/>
      <c r="B114" s="118">
        <v>0</v>
      </c>
      <c r="C114" s="7">
        <f t="shared" si="25"/>
        <v>10.38114</v>
      </c>
      <c r="D114" s="17" t="s">
        <v>92</v>
      </c>
      <c r="E114" s="110">
        <v>10</v>
      </c>
      <c r="F114" s="7">
        <f>10381.14/1000</f>
        <v>10.38114</v>
      </c>
      <c r="G114" s="106">
        <v>0</v>
      </c>
      <c r="H114" s="106">
        <v>0</v>
      </c>
      <c r="I114" s="10" t="str">
        <f t="shared" si="23"/>
        <v>K-JETS-7019 Вигнутий катетер для переносу ембріонів, трансферний катетер 2.8Fr-24cm та навігаційний катетер 6.6Fr-17.3cm, шт</v>
      </c>
      <c r="J114" s="79">
        <f>F114-K114</f>
        <v>0</v>
      </c>
      <c r="K114" s="55">
        <f>F114</f>
        <v>10.38114</v>
      </c>
    </row>
    <row r="115" spans="1:19" ht="52.5" customHeight="1" thickBot="1" x14ac:dyDescent="0.3">
      <c r="A115" s="255"/>
      <c r="B115" s="120">
        <v>0</v>
      </c>
      <c r="C115" s="20">
        <f t="shared" si="25"/>
        <v>21.194560000000003</v>
      </c>
      <c r="D115" s="21" t="s">
        <v>98</v>
      </c>
      <c r="E115" s="111">
        <v>20</v>
      </c>
      <c r="F115" s="20">
        <f>21194.56/1000</f>
        <v>21.194560000000003</v>
      </c>
      <c r="G115" s="115">
        <v>0</v>
      </c>
      <c r="H115" s="115">
        <v>0</v>
      </c>
      <c r="I115" s="22" t="str">
        <f t="shared" si="23"/>
        <v>K-OSN-1730-B-90 Однопросвітна голка для забору ооцитів 17g 30cm з ЕСНО типом, аспіраційна лінія 90см, шт.</v>
      </c>
      <c r="J115" s="81">
        <f>F115-K115</f>
        <v>0</v>
      </c>
      <c r="K115" s="54">
        <f>F115</f>
        <v>21.194560000000003</v>
      </c>
    </row>
    <row r="116" spans="1:19" s="6" customFormat="1" ht="39" customHeight="1" x14ac:dyDescent="0.3">
      <c r="A116" s="261" t="s">
        <v>216</v>
      </c>
      <c r="B116" s="220" t="s">
        <v>99</v>
      </c>
      <c r="C116" s="221"/>
      <c r="D116" s="221"/>
      <c r="E116" s="221"/>
      <c r="F116" s="23">
        <f>F117+F118</f>
        <v>5.9976000000000003</v>
      </c>
      <c r="G116" s="221" t="s">
        <v>99</v>
      </c>
      <c r="H116" s="221"/>
      <c r="I116" s="221"/>
      <c r="J116" s="82">
        <f>J117+J118</f>
        <v>5.9976000000000003</v>
      </c>
      <c r="K116" s="59">
        <f>SUM(K117:K118)</f>
        <v>0</v>
      </c>
      <c r="L116" s="61"/>
      <c r="M116" s="61"/>
      <c r="N116" s="61"/>
      <c r="O116" s="61"/>
      <c r="P116" s="61"/>
      <c r="Q116" s="61"/>
      <c r="R116" s="61"/>
      <c r="S116" s="61"/>
    </row>
    <row r="117" spans="1:19" ht="30" customHeight="1" x14ac:dyDescent="0.25">
      <c r="A117" s="254"/>
      <c r="B117" s="118">
        <v>0</v>
      </c>
      <c r="C117" s="7">
        <f t="shared" ref="C117:C118" si="27">F116:F117</f>
        <v>2.9988000000000001</v>
      </c>
      <c r="D117" s="17" t="s">
        <v>100</v>
      </c>
      <c r="E117" s="110">
        <v>170</v>
      </c>
      <c r="F117" s="7">
        <f>2998.8/1000</f>
        <v>2.9988000000000001</v>
      </c>
      <c r="G117" s="106">
        <v>0</v>
      </c>
      <c r="H117" s="106">
        <v>0</v>
      </c>
      <c r="I117" s="10" t="str">
        <f t="shared" ref="I117:I118" si="28">D117</f>
        <v>Батон нарізний молочний</v>
      </c>
      <c r="J117" s="79">
        <f t="shared" ref="J117:J118" si="29">F117</f>
        <v>2.9988000000000001</v>
      </c>
      <c r="K117" s="55">
        <v>0</v>
      </c>
    </row>
    <row r="118" spans="1:19" ht="30" customHeight="1" thickBot="1" x14ac:dyDescent="0.3">
      <c r="A118" s="254"/>
      <c r="B118" s="120">
        <v>0</v>
      </c>
      <c r="C118" s="20">
        <f t="shared" si="27"/>
        <v>2.9988000000000001</v>
      </c>
      <c r="D118" s="21" t="s">
        <v>101</v>
      </c>
      <c r="E118" s="111">
        <v>170</v>
      </c>
      <c r="F118" s="20">
        <f>2998.8/1000</f>
        <v>2.9988000000000001</v>
      </c>
      <c r="G118" s="115">
        <v>0</v>
      </c>
      <c r="H118" s="115">
        <v>0</v>
      </c>
      <c r="I118" s="22" t="str">
        <f t="shared" si="28"/>
        <v>Хліб "Гусарик"</v>
      </c>
      <c r="J118" s="81">
        <f t="shared" si="29"/>
        <v>2.9988000000000001</v>
      </c>
      <c r="K118" s="54">
        <v>0</v>
      </c>
    </row>
    <row r="119" spans="1:19" s="6" customFormat="1" ht="40.5" customHeight="1" x14ac:dyDescent="0.3">
      <c r="A119" s="254"/>
      <c r="B119" s="256" t="s">
        <v>102</v>
      </c>
      <c r="C119" s="257"/>
      <c r="D119" s="257"/>
      <c r="E119" s="112"/>
      <c r="F119" s="37">
        <f>F120+F121+F122+F123+F124+F125+F126+F127+F128+F129+F130+F132+F131</f>
        <v>67.34899999999999</v>
      </c>
      <c r="G119" s="257" t="s">
        <v>102</v>
      </c>
      <c r="H119" s="257"/>
      <c r="I119" s="257"/>
      <c r="J119" s="95">
        <f>J120+J121+J122+J123+J124+J125+J126+J127+J128+J129+J130+J132+J131</f>
        <v>67.34899999999999</v>
      </c>
      <c r="K119" s="88">
        <v>0</v>
      </c>
      <c r="L119" s="61"/>
      <c r="M119" s="62"/>
      <c r="N119" s="61"/>
      <c r="O119" s="61"/>
      <c r="P119" s="61"/>
      <c r="Q119" s="61"/>
      <c r="R119" s="61"/>
      <c r="S119" s="61"/>
    </row>
    <row r="120" spans="1:19" ht="39.75" customHeight="1" x14ac:dyDescent="0.25">
      <c r="A120" s="254"/>
      <c r="B120" s="118">
        <v>0</v>
      </c>
      <c r="C120" s="7">
        <f t="shared" ref="C120:C135" si="30">F119:F120</f>
        <v>8.2319999999999993</v>
      </c>
      <c r="D120" s="10" t="s">
        <v>103</v>
      </c>
      <c r="E120" s="106">
        <v>1</v>
      </c>
      <c r="F120" s="7">
        <f>8232/1000</f>
        <v>8.2319999999999993</v>
      </c>
      <c r="G120" s="106">
        <v>0</v>
      </c>
      <c r="H120" s="106">
        <v>0</v>
      </c>
      <c r="I120" s="10" t="str">
        <f t="shared" ref="I120:I135" si="31">D120</f>
        <v>Поточний ремонт автомобіля Opel COMBO 1,4</v>
      </c>
      <c r="J120" s="79">
        <f t="shared" ref="J120:J135" si="32">F120</f>
        <v>8.2319999999999993</v>
      </c>
      <c r="K120" s="55">
        <v>0</v>
      </c>
    </row>
    <row r="121" spans="1:19" ht="39.75" customHeight="1" x14ac:dyDescent="0.25">
      <c r="A121" s="254"/>
      <c r="B121" s="118">
        <v>0</v>
      </c>
      <c r="C121" s="7">
        <f t="shared" si="30"/>
        <v>0.63600000000000001</v>
      </c>
      <c r="D121" s="10" t="s">
        <v>104</v>
      </c>
      <c r="E121" s="106">
        <v>1</v>
      </c>
      <c r="F121" s="7">
        <f>636/1000</f>
        <v>0.63600000000000001</v>
      </c>
      <c r="G121" s="106">
        <v>0</v>
      </c>
      <c r="H121" s="106">
        <v>0</v>
      </c>
      <c r="I121" s="10" t="str">
        <f t="shared" si="31"/>
        <v>Послуга з опломбування вузла обліку</v>
      </c>
      <c r="J121" s="79">
        <f t="shared" si="32"/>
        <v>0.63600000000000001</v>
      </c>
      <c r="K121" s="55">
        <v>0</v>
      </c>
    </row>
    <row r="122" spans="1:19" ht="39.75" customHeight="1" x14ac:dyDescent="0.25">
      <c r="A122" s="254"/>
      <c r="B122" s="118">
        <v>0</v>
      </c>
      <c r="C122" s="7">
        <f t="shared" si="30"/>
        <v>2.016</v>
      </c>
      <c r="D122" s="10" t="s">
        <v>105</v>
      </c>
      <c r="E122" s="106">
        <v>1</v>
      </c>
      <c r="F122" s="7">
        <f>2016/1000</f>
        <v>2.016</v>
      </c>
      <c r="G122" s="106">
        <v>0</v>
      </c>
      <c r="H122" s="106">
        <v>0</v>
      </c>
      <c r="I122" s="10" t="str">
        <f t="shared" si="31"/>
        <v>Послуга програмного забеспечення HELSI., 1 послуга за 01.23</v>
      </c>
      <c r="J122" s="79">
        <f t="shared" si="32"/>
        <v>2.016</v>
      </c>
      <c r="K122" s="55">
        <v>0</v>
      </c>
    </row>
    <row r="123" spans="1:19" ht="39.75" customHeight="1" x14ac:dyDescent="0.25">
      <c r="A123" s="254"/>
      <c r="B123" s="118">
        <v>0</v>
      </c>
      <c r="C123" s="7">
        <f t="shared" si="30"/>
        <v>0.69299999999999995</v>
      </c>
      <c r="D123" s="10" t="s">
        <v>106</v>
      </c>
      <c r="E123" s="106">
        <v>1</v>
      </c>
      <c r="F123" s="7">
        <f>693/1000</f>
        <v>0.69299999999999995</v>
      </c>
      <c r="G123" s="106">
        <v>0</v>
      </c>
      <c r="H123" s="106">
        <v>0</v>
      </c>
      <c r="I123" s="10" t="str">
        <f t="shared" si="31"/>
        <v>Послуги шиномонтажу</v>
      </c>
      <c r="J123" s="79">
        <f t="shared" si="32"/>
        <v>0.69299999999999995</v>
      </c>
      <c r="K123" s="55">
        <v>0</v>
      </c>
    </row>
    <row r="124" spans="1:19" ht="39.75" customHeight="1" x14ac:dyDescent="0.25">
      <c r="A124" s="254"/>
      <c r="B124" s="118">
        <v>0</v>
      </c>
      <c r="C124" s="7">
        <f t="shared" si="30"/>
        <v>1.619</v>
      </c>
      <c r="D124" s="10" t="s">
        <v>107</v>
      </c>
      <c r="E124" s="106">
        <v>1</v>
      </c>
      <c r="F124" s="7">
        <f>1619/1000</f>
        <v>1.619</v>
      </c>
      <c r="G124" s="106">
        <v>0</v>
      </c>
      <c r="H124" s="106">
        <v>0</v>
      </c>
      <c r="I124" s="10" t="str">
        <f t="shared" si="31"/>
        <v>Страховий платіж згідно Полісу обов'язковогострахування</v>
      </c>
      <c r="J124" s="79">
        <f t="shared" si="32"/>
        <v>1.619</v>
      </c>
      <c r="K124" s="55">
        <v>0</v>
      </c>
    </row>
    <row r="125" spans="1:19" ht="39.75" customHeight="1" x14ac:dyDescent="0.25">
      <c r="A125" s="254"/>
      <c r="B125" s="118">
        <v>0</v>
      </c>
      <c r="C125" s="7">
        <f t="shared" si="30"/>
        <v>1.85</v>
      </c>
      <c r="D125" s="10" t="s">
        <v>108</v>
      </c>
      <c r="E125" s="106">
        <v>1</v>
      </c>
      <c r="F125" s="7">
        <f>1850/1000</f>
        <v>1.85</v>
      </c>
      <c r="G125" s="106">
        <v>0</v>
      </c>
      <c r="H125" s="106">
        <v>0</v>
      </c>
      <c r="I125" s="10" t="str">
        <f t="shared" si="31"/>
        <v>Технічне обслуговування та ремонт транспорту</v>
      </c>
      <c r="J125" s="79">
        <f t="shared" si="32"/>
        <v>1.85</v>
      </c>
      <c r="K125" s="55">
        <v>0</v>
      </c>
    </row>
    <row r="126" spans="1:19" ht="39.75" customHeight="1" x14ac:dyDescent="0.25">
      <c r="A126" s="254"/>
      <c r="B126" s="118">
        <v>0</v>
      </c>
      <c r="C126" s="7">
        <f t="shared" si="30"/>
        <v>3.6520000000000001</v>
      </c>
      <c r="D126" s="10" t="s">
        <v>108</v>
      </c>
      <c r="E126" s="106">
        <v>1</v>
      </c>
      <c r="F126" s="7">
        <f>3652/1000</f>
        <v>3.6520000000000001</v>
      </c>
      <c r="G126" s="106">
        <v>0</v>
      </c>
      <c r="H126" s="106">
        <v>0</v>
      </c>
      <c r="I126" s="10" t="str">
        <f t="shared" si="31"/>
        <v>Технічне обслуговування та ремонт транспорту</v>
      </c>
      <c r="J126" s="79">
        <f t="shared" si="32"/>
        <v>3.6520000000000001</v>
      </c>
      <c r="K126" s="55">
        <v>0</v>
      </c>
    </row>
    <row r="127" spans="1:19" ht="39.75" customHeight="1" x14ac:dyDescent="0.25">
      <c r="A127" s="254"/>
      <c r="B127" s="118">
        <v>0</v>
      </c>
      <c r="C127" s="7">
        <f t="shared" si="30"/>
        <v>5</v>
      </c>
      <c r="D127" s="10" t="s">
        <v>109</v>
      </c>
      <c r="E127" s="106">
        <v>1</v>
      </c>
      <c r="F127" s="7">
        <f>5000/1000</f>
        <v>5</v>
      </c>
      <c r="G127" s="106">
        <v>0</v>
      </c>
      <c r="H127" s="106">
        <v>0</v>
      </c>
      <c r="I127" s="10" t="str">
        <f t="shared" si="31"/>
        <v>Інженерні послуги (екологічна експертиза)</v>
      </c>
      <c r="J127" s="79">
        <f t="shared" si="32"/>
        <v>5</v>
      </c>
      <c r="K127" s="55">
        <v>0</v>
      </c>
    </row>
    <row r="128" spans="1:19" ht="39.75" customHeight="1" x14ac:dyDescent="0.25">
      <c r="A128" s="254"/>
      <c r="B128" s="118">
        <v>0</v>
      </c>
      <c r="C128" s="7">
        <f t="shared" si="30"/>
        <v>6.89</v>
      </c>
      <c r="D128" s="10" t="s">
        <v>110</v>
      </c>
      <c r="E128" s="106">
        <v>1</v>
      </c>
      <c r="F128" s="7">
        <f>6890/1000</f>
        <v>6.89</v>
      </c>
      <c r="G128" s="106">
        <v>0</v>
      </c>
      <c r="H128" s="106">
        <v>0</v>
      </c>
      <c r="I128" s="10" t="str">
        <f t="shared" si="31"/>
        <v xml:space="preserve">Послуга з ремонту блоку живлення інкубатора </v>
      </c>
      <c r="J128" s="79">
        <f t="shared" si="32"/>
        <v>6.89</v>
      </c>
      <c r="K128" s="55">
        <v>0</v>
      </c>
    </row>
    <row r="129" spans="1:19" ht="39.75" customHeight="1" x14ac:dyDescent="0.25">
      <c r="A129" s="254"/>
      <c r="B129" s="118">
        <v>0</v>
      </c>
      <c r="C129" s="7">
        <f t="shared" si="30"/>
        <v>8</v>
      </c>
      <c r="D129" s="10" t="s">
        <v>111</v>
      </c>
      <c r="E129" s="106">
        <v>1</v>
      </c>
      <c r="F129" s="7">
        <f>8000/1000</f>
        <v>8</v>
      </c>
      <c r="G129" s="106">
        <v>0</v>
      </c>
      <c r="H129" s="106">
        <v>0</v>
      </c>
      <c r="I129" s="10" t="str">
        <f t="shared" si="31"/>
        <v>Послуги з обслуговування мережі інтернет</v>
      </c>
      <c r="J129" s="79">
        <f t="shared" si="32"/>
        <v>8</v>
      </c>
      <c r="K129" s="55">
        <v>0</v>
      </c>
    </row>
    <row r="130" spans="1:19" ht="39.75" customHeight="1" x14ac:dyDescent="0.25">
      <c r="A130" s="254"/>
      <c r="B130" s="118">
        <v>0</v>
      </c>
      <c r="C130" s="7">
        <f t="shared" si="30"/>
        <v>19.991</v>
      </c>
      <c r="D130" s="10" t="s">
        <v>112</v>
      </c>
      <c r="E130" s="106">
        <v>1</v>
      </c>
      <c r="F130" s="7">
        <f>19991/1000</f>
        <v>19.991</v>
      </c>
      <c r="G130" s="106">
        <v>0</v>
      </c>
      <c r="H130" s="106">
        <v>0</v>
      </c>
      <c r="I130" s="10" t="str">
        <f t="shared" si="31"/>
        <v>Послуги з ремонту та технічного обслуговування медицинського та хірургічного обладнання</v>
      </c>
      <c r="J130" s="79">
        <f t="shared" si="32"/>
        <v>19.991</v>
      </c>
      <c r="K130" s="55">
        <v>0</v>
      </c>
    </row>
    <row r="131" spans="1:19" ht="39.75" customHeight="1" x14ac:dyDescent="0.25">
      <c r="A131" s="254"/>
      <c r="B131" s="119">
        <v>0</v>
      </c>
      <c r="C131" s="13">
        <f t="shared" si="30"/>
        <v>6.22</v>
      </c>
      <c r="D131" s="25" t="s">
        <v>113</v>
      </c>
      <c r="E131" s="113">
        <v>1</v>
      </c>
      <c r="F131" s="26">
        <f>6220/1000</f>
        <v>6.22</v>
      </c>
      <c r="G131" s="106">
        <v>0</v>
      </c>
      <c r="H131" s="106">
        <v>0</v>
      </c>
      <c r="I131" s="10" t="str">
        <f t="shared" si="31"/>
        <v>Поточний ремонт автомобіля  OPEL Combo</v>
      </c>
      <c r="J131" s="79">
        <f t="shared" si="32"/>
        <v>6.22</v>
      </c>
      <c r="K131" s="55">
        <v>0</v>
      </c>
    </row>
    <row r="132" spans="1:19" ht="39.75" customHeight="1" thickBot="1" x14ac:dyDescent="0.3">
      <c r="A132" s="254"/>
      <c r="B132" s="119">
        <v>0</v>
      </c>
      <c r="C132" s="13">
        <f t="shared" ref="C132" si="33">F130:F132</f>
        <v>2.5499999999999998</v>
      </c>
      <c r="D132" s="25" t="s">
        <v>114</v>
      </c>
      <c r="E132" s="113">
        <v>1</v>
      </c>
      <c r="F132" s="13">
        <f>2550/1000</f>
        <v>2.5499999999999998</v>
      </c>
      <c r="G132" s="107">
        <v>0</v>
      </c>
      <c r="H132" s="107">
        <v>0</v>
      </c>
      <c r="I132" s="14" t="str">
        <f t="shared" si="31"/>
        <v xml:space="preserve">Оплата послуг  з надання доступу до онлайн сервісів Helsi  за лютий </v>
      </c>
      <c r="J132" s="83">
        <f t="shared" si="32"/>
        <v>2.5499999999999998</v>
      </c>
      <c r="K132" s="89">
        <v>0</v>
      </c>
    </row>
    <row r="133" spans="1:19" s="6" customFormat="1" ht="51" customHeight="1" x14ac:dyDescent="0.3">
      <c r="A133" s="254"/>
      <c r="B133" s="248" t="s">
        <v>115</v>
      </c>
      <c r="C133" s="249"/>
      <c r="D133" s="249"/>
      <c r="E133" s="250"/>
      <c r="F133" s="23">
        <f>F134+F135</f>
        <v>13.399999999999999</v>
      </c>
      <c r="G133" s="258" t="s">
        <v>115</v>
      </c>
      <c r="H133" s="259"/>
      <c r="I133" s="260"/>
      <c r="J133" s="84">
        <f>J134+J135</f>
        <v>13.399999999999999</v>
      </c>
      <c r="K133" s="59">
        <v>0</v>
      </c>
      <c r="L133" s="61"/>
      <c r="M133" s="61"/>
      <c r="N133" s="61"/>
      <c r="O133" s="61"/>
      <c r="P133" s="61"/>
      <c r="Q133" s="61"/>
      <c r="R133" s="61"/>
      <c r="S133" s="61"/>
    </row>
    <row r="134" spans="1:19" ht="29.25" customHeight="1" x14ac:dyDescent="0.25">
      <c r="A134" s="254"/>
      <c r="B134" s="118">
        <v>0</v>
      </c>
      <c r="C134" s="7">
        <f>F130:F134</f>
        <v>9.6</v>
      </c>
      <c r="D134" s="10" t="s">
        <v>116</v>
      </c>
      <c r="E134" s="106">
        <v>1</v>
      </c>
      <c r="F134" s="7">
        <f>9600/1000</f>
        <v>9.6</v>
      </c>
      <c r="G134" s="106">
        <v>0</v>
      </c>
      <c r="H134" s="106">
        <v>0</v>
      </c>
      <c r="I134" s="10" t="str">
        <f t="shared" si="31"/>
        <v>Послуга з навчання з охорони праці</v>
      </c>
      <c r="J134" s="79">
        <f t="shared" si="32"/>
        <v>9.6</v>
      </c>
      <c r="K134" s="55">
        <v>0</v>
      </c>
    </row>
    <row r="135" spans="1:19" ht="29.25" customHeight="1" thickBot="1" x14ac:dyDescent="0.3">
      <c r="A135" s="254"/>
      <c r="B135" s="119">
        <v>0</v>
      </c>
      <c r="C135" s="13">
        <f t="shared" si="30"/>
        <v>3.8</v>
      </c>
      <c r="D135" s="14" t="s">
        <v>116</v>
      </c>
      <c r="E135" s="107">
        <v>1</v>
      </c>
      <c r="F135" s="13">
        <f>3800/1000</f>
        <v>3.8</v>
      </c>
      <c r="G135" s="107">
        <v>0</v>
      </c>
      <c r="H135" s="107">
        <v>0</v>
      </c>
      <c r="I135" s="14" t="str">
        <f t="shared" si="31"/>
        <v>Послуга з навчання з охорони праці</v>
      </c>
      <c r="J135" s="83">
        <f t="shared" si="32"/>
        <v>3.8</v>
      </c>
      <c r="K135" s="89">
        <v>0</v>
      </c>
    </row>
    <row r="136" spans="1:19" s="27" customFormat="1" ht="47.25" customHeight="1" x14ac:dyDescent="0.25">
      <c r="A136" s="254"/>
      <c r="B136" s="220" t="s">
        <v>117</v>
      </c>
      <c r="C136" s="221"/>
      <c r="D136" s="221"/>
      <c r="E136" s="221"/>
      <c r="F136" s="24">
        <f>F137+F138+F139</f>
        <v>65.882350000000002</v>
      </c>
      <c r="G136" s="221" t="s">
        <v>117</v>
      </c>
      <c r="H136" s="221"/>
      <c r="I136" s="221"/>
      <c r="J136" s="84">
        <f>J137+J138+J139</f>
        <v>65.882350000000002</v>
      </c>
      <c r="K136" s="59">
        <v>0</v>
      </c>
      <c r="L136" s="63"/>
      <c r="M136" s="63"/>
      <c r="N136" s="63"/>
      <c r="O136" s="63"/>
      <c r="P136" s="63"/>
      <c r="Q136" s="63"/>
      <c r="R136" s="63"/>
      <c r="S136" s="63"/>
    </row>
    <row r="137" spans="1:19" ht="28.5" customHeight="1" x14ac:dyDescent="0.25">
      <c r="A137" s="254"/>
      <c r="B137" s="118">
        <v>0</v>
      </c>
      <c r="C137" s="7">
        <f t="shared" ref="C137:C139" si="34">F136:F137</f>
        <v>31.221349999999997</v>
      </c>
      <c r="D137" s="17" t="s">
        <v>118</v>
      </c>
      <c r="E137" s="114">
        <v>1</v>
      </c>
      <c r="F137" s="28">
        <f>31221.35/1000</f>
        <v>31.221349999999997</v>
      </c>
      <c r="G137" s="106">
        <v>0</v>
      </c>
      <c r="H137" s="106">
        <v>0</v>
      </c>
      <c r="I137" s="10" t="str">
        <f t="shared" ref="I137:I139" si="35">D137</f>
        <v>Модернізація силової проводки всередині будівлі</v>
      </c>
      <c r="J137" s="79">
        <f t="shared" ref="J137:J139" si="36">F137</f>
        <v>31.221349999999997</v>
      </c>
      <c r="K137" s="55">
        <v>0</v>
      </c>
    </row>
    <row r="138" spans="1:19" ht="28.5" customHeight="1" x14ac:dyDescent="0.25">
      <c r="A138" s="254"/>
      <c r="B138" s="118">
        <v>0</v>
      </c>
      <c r="C138" s="7">
        <f t="shared" si="34"/>
        <v>12.661</v>
      </c>
      <c r="D138" s="17" t="s">
        <v>119</v>
      </c>
      <c r="E138" s="114">
        <v>1</v>
      </c>
      <c r="F138" s="28">
        <f>12661/1000</f>
        <v>12.661</v>
      </c>
      <c r="G138" s="106">
        <v>0</v>
      </c>
      <c r="H138" s="106">
        <v>0</v>
      </c>
      <c r="I138" s="10" t="str">
        <f t="shared" si="35"/>
        <v>Дисектор біполярний</v>
      </c>
      <c r="J138" s="79">
        <f t="shared" si="36"/>
        <v>12.661</v>
      </c>
      <c r="K138" s="55">
        <v>0</v>
      </c>
    </row>
    <row r="139" spans="1:19" ht="28.5" customHeight="1" thickBot="1" x14ac:dyDescent="0.3">
      <c r="A139" s="255"/>
      <c r="B139" s="120">
        <v>0</v>
      </c>
      <c r="C139" s="20">
        <f t="shared" si="34"/>
        <v>22</v>
      </c>
      <c r="D139" s="36" t="s">
        <v>120</v>
      </c>
      <c r="E139" s="147">
        <v>1</v>
      </c>
      <c r="F139" s="90">
        <f>22000/1000</f>
        <v>22</v>
      </c>
      <c r="G139" s="115">
        <v>0</v>
      </c>
      <c r="H139" s="115">
        <v>0</v>
      </c>
      <c r="I139" s="22" t="str">
        <f t="shared" si="35"/>
        <v>Ноутбук ASUS 515</v>
      </c>
      <c r="J139" s="81">
        <f t="shared" si="36"/>
        <v>22</v>
      </c>
      <c r="K139" s="54">
        <v>0</v>
      </c>
    </row>
    <row r="140" spans="1:19" s="6" customFormat="1" ht="32.25" customHeight="1" x14ac:dyDescent="0.3">
      <c r="A140" s="242" t="s">
        <v>121</v>
      </c>
      <c r="B140" s="220" t="s">
        <v>122</v>
      </c>
      <c r="C140" s="221"/>
      <c r="D140" s="221"/>
      <c r="E140" s="221"/>
      <c r="F140" s="30">
        <f>F141+F142+F143</f>
        <v>5.0000000000000001E-3</v>
      </c>
      <c r="G140" s="221" t="s">
        <v>122</v>
      </c>
      <c r="H140" s="221"/>
      <c r="I140" s="221"/>
      <c r="J140" s="57">
        <f>J141+J142+J143</f>
        <v>5.0000000000000001E-3</v>
      </c>
      <c r="K140" s="59">
        <v>0</v>
      </c>
      <c r="L140" s="61"/>
      <c r="M140" s="64"/>
      <c r="N140" s="61"/>
      <c r="O140" s="61"/>
      <c r="P140" s="61"/>
      <c r="Q140" s="61"/>
      <c r="R140" s="61"/>
      <c r="S140" s="61"/>
    </row>
    <row r="141" spans="1:19" s="6" customFormat="1" ht="25.5" customHeight="1" x14ac:dyDescent="0.3">
      <c r="A141" s="243"/>
      <c r="B141" s="118">
        <v>0</v>
      </c>
      <c r="C141" s="12">
        <f t="shared" ref="C141:C143" si="37">F140:F141</f>
        <v>1E-3</v>
      </c>
      <c r="D141" s="31" t="s">
        <v>123</v>
      </c>
      <c r="E141" s="106">
        <v>1</v>
      </c>
      <c r="F141" s="12">
        <f>1/1000</f>
        <v>1E-3</v>
      </c>
      <c r="G141" s="106">
        <v>0</v>
      </c>
      <c r="H141" s="106">
        <v>0</v>
      </c>
      <c r="I141" s="31" t="str">
        <f t="shared" ref="I141:I143" si="38">D141</f>
        <v>Монітор пацієнта М-50</v>
      </c>
      <c r="J141" s="67">
        <f t="shared" ref="J141:J143" si="39">F141</f>
        <v>1E-3</v>
      </c>
      <c r="K141" s="55">
        <v>0</v>
      </c>
      <c r="L141" s="61"/>
      <c r="M141" s="61"/>
      <c r="N141" s="61"/>
      <c r="O141" s="61"/>
      <c r="P141" s="61"/>
      <c r="Q141" s="61"/>
      <c r="R141" s="61"/>
      <c r="S141" s="61"/>
    </row>
    <row r="142" spans="1:19" s="6" customFormat="1" ht="25.5" customHeight="1" x14ac:dyDescent="0.3">
      <c r="A142" s="243"/>
      <c r="B142" s="118">
        <v>0</v>
      </c>
      <c r="C142" s="12">
        <f t="shared" si="37"/>
        <v>1E-3</v>
      </c>
      <c r="D142" s="31" t="s">
        <v>124</v>
      </c>
      <c r="E142" s="106">
        <v>1</v>
      </c>
      <c r="F142" s="12">
        <f>1/1000</f>
        <v>1E-3</v>
      </c>
      <c r="G142" s="106">
        <v>0</v>
      </c>
      <c r="H142" s="106">
        <v>0</v>
      </c>
      <c r="I142" s="31" t="str">
        <f t="shared" si="38"/>
        <v>Монітор пацієнта М-40</v>
      </c>
      <c r="J142" s="67">
        <f t="shared" si="39"/>
        <v>1E-3</v>
      </c>
      <c r="K142" s="55">
        <v>0</v>
      </c>
      <c r="L142" s="61"/>
      <c r="M142" s="61"/>
      <c r="N142" s="61"/>
      <c r="O142" s="61"/>
      <c r="P142" s="61"/>
      <c r="Q142" s="61"/>
      <c r="R142" s="61"/>
      <c r="S142" s="61"/>
    </row>
    <row r="143" spans="1:19" s="6" customFormat="1" ht="25.5" customHeight="1" thickBot="1" x14ac:dyDescent="0.35">
      <c r="A143" s="243"/>
      <c r="B143" s="120">
        <v>0</v>
      </c>
      <c r="C143" s="94">
        <f t="shared" si="37"/>
        <v>3.0000000000000001E-3</v>
      </c>
      <c r="D143" s="93" t="s">
        <v>125</v>
      </c>
      <c r="E143" s="115">
        <v>3</v>
      </c>
      <c r="F143" s="94">
        <f>3/1000</f>
        <v>3.0000000000000001E-3</v>
      </c>
      <c r="G143" s="115">
        <v>0</v>
      </c>
      <c r="H143" s="115">
        <v>0</v>
      </c>
      <c r="I143" s="93" t="str">
        <f t="shared" si="38"/>
        <v>Інфузійний об'ємний насос</v>
      </c>
      <c r="J143" s="96">
        <f t="shared" si="39"/>
        <v>3.0000000000000001E-3</v>
      </c>
      <c r="K143" s="54">
        <v>0</v>
      </c>
      <c r="L143" s="61"/>
      <c r="M143" s="61"/>
      <c r="N143" s="61"/>
      <c r="O143" s="61"/>
      <c r="P143" s="61"/>
      <c r="Q143" s="61"/>
      <c r="R143" s="61"/>
      <c r="S143" s="61"/>
    </row>
    <row r="144" spans="1:19" ht="36" customHeight="1" x14ac:dyDescent="0.25">
      <c r="A144" s="243"/>
      <c r="B144" s="240" t="s">
        <v>76</v>
      </c>
      <c r="C144" s="241"/>
      <c r="D144" s="241"/>
      <c r="E144" s="241"/>
      <c r="F144" s="91">
        <f>F145+F168</f>
        <v>228.970144</v>
      </c>
      <c r="G144" s="241" t="s">
        <v>76</v>
      </c>
      <c r="H144" s="241"/>
      <c r="I144" s="241"/>
      <c r="J144" s="97">
        <f>J145+J168</f>
        <v>42.009600000000013</v>
      </c>
      <c r="K144" s="92">
        <f>K145+K168</f>
        <v>186.96054399999997</v>
      </c>
    </row>
    <row r="145" spans="1:11" ht="34.5" customHeight="1" x14ac:dyDescent="0.25">
      <c r="A145" s="243"/>
      <c r="B145" s="251" t="s">
        <v>77</v>
      </c>
      <c r="C145" s="252"/>
      <c r="D145" s="252"/>
      <c r="E145" s="252"/>
      <c r="F145" s="32">
        <f>F146+F147+F148+F149+F150+F151+F152+F153+F154+F155+F156+F157+F158+F159+F160+F161+F162+F163+F164+F165+F166+F167</f>
        <v>81.553599999999975</v>
      </c>
      <c r="G145" s="252" t="s">
        <v>77</v>
      </c>
      <c r="H145" s="252"/>
      <c r="I145" s="252"/>
      <c r="J145" s="85">
        <f>J146+J147+J148+J149+J150+J151+J152+J153+J154+J155+J156+J157+J158+J159+J160+J161+J162+J163+J164+J165+J166+J167</f>
        <v>2.9030000000000031</v>
      </c>
      <c r="K145" s="55">
        <f>SUM(K146:K167)</f>
        <v>78.650599999999997</v>
      </c>
    </row>
    <row r="146" spans="1:11" ht="34.5" customHeight="1" x14ac:dyDescent="0.25">
      <c r="A146" s="243"/>
      <c r="B146" s="118">
        <v>0</v>
      </c>
      <c r="C146" s="7">
        <f>F144:F146</f>
        <v>0.2</v>
      </c>
      <c r="D146" s="17" t="s">
        <v>126</v>
      </c>
      <c r="E146" s="39">
        <v>200</v>
      </c>
      <c r="F146" s="7">
        <f>200/1000</f>
        <v>0.2</v>
      </c>
      <c r="G146" s="106">
        <v>0</v>
      </c>
      <c r="H146" s="106">
        <v>0</v>
      </c>
      <c r="I146" s="10" t="str">
        <f t="shared" ref="I146:I167" si="40">D146</f>
        <v>Окскарбазепін 600 мг, табл.</v>
      </c>
      <c r="J146" s="71">
        <f t="shared" ref="J146:J166" si="41">F146-K146</f>
        <v>0</v>
      </c>
      <c r="K146" s="55">
        <v>0.2</v>
      </c>
    </row>
    <row r="147" spans="1:11" ht="34.5" customHeight="1" x14ac:dyDescent="0.25">
      <c r="A147" s="243"/>
      <c r="B147" s="118">
        <v>0</v>
      </c>
      <c r="C147" s="7">
        <f t="shared" ref="C147:C167" si="42">F146:F147</f>
        <v>0.06</v>
      </c>
      <c r="D147" s="17" t="s">
        <v>127</v>
      </c>
      <c r="E147" s="39">
        <v>60</v>
      </c>
      <c r="F147" s="7">
        <f>60/1000</f>
        <v>0.06</v>
      </c>
      <c r="G147" s="106">
        <v>0</v>
      </c>
      <c r="H147" s="106">
        <v>0</v>
      </c>
      <c r="I147" s="10" t="str">
        <f t="shared" si="40"/>
        <v>Ібупрофен 20 мг/мл 200мл, флакон</v>
      </c>
      <c r="J147" s="71">
        <f t="shared" si="41"/>
        <v>4.9999999999999996E-2</v>
      </c>
      <c r="K147" s="55">
        <v>0.01</v>
      </c>
    </row>
    <row r="148" spans="1:11" ht="34.5" customHeight="1" x14ac:dyDescent="0.25">
      <c r="A148" s="243"/>
      <c r="B148" s="118">
        <v>0</v>
      </c>
      <c r="C148" s="7">
        <f t="shared" si="42"/>
        <v>4.8000000000000001E-2</v>
      </c>
      <c r="D148" s="17" t="s">
        <v>128</v>
      </c>
      <c r="E148" s="39">
        <v>48</v>
      </c>
      <c r="F148" s="12">
        <f>48/1000</f>
        <v>4.8000000000000001E-2</v>
      </c>
      <c r="G148" s="106">
        <v>0</v>
      </c>
      <c r="H148" s="106">
        <v>0</v>
      </c>
      <c r="I148" s="10" t="str">
        <f t="shared" si="40"/>
        <v>Дексаметазон 1мл, амп.</v>
      </c>
      <c r="J148" s="71">
        <f t="shared" si="41"/>
        <v>4.8000000000000001E-2</v>
      </c>
      <c r="K148" s="55">
        <v>0</v>
      </c>
    </row>
    <row r="149" spans="1:11" ht="52.5" customHeight="1" x14ac:dyDescent="0.25">
      <c r="A149" s="243"/>
      <c r="B149" s="118">
        <v>0</v>
      </c>
      <c r="C149" s="12">
        <f t="shared" si="42"/>
        <v>7.0000000000000001E-3</v>
      </c>
      <c r="D149" s="17" t="s">
        <v>129</v>
      </c>
      <c r="E149" s="39">
        <v>7</v>
      </c>
      <c r="F149" s="12">
        <f>7/1000</f>
        <v>7.0000000000000001E-3</v>
      </c>
      <c r="G149" s="106">
        <v>0</v>
      </c>
      <c r="H149" s="106">
        <v>0</v>
      </c>
      <c r="I149" s="10" t="str">
        <f t="shared" si="40"/>
        <v>Витратні матеріали/ Pipette micro tips 2x10x96 100-1000 мкл, п/а (кінцевик блакитний 100-1000 мкл), короб</v>
      </c>
      <c r="J149" s="67">
        <f>F149-K149</f>
        <v>0</v>
      </c>
      <c r="K149" s="68">
        <f>F149</f>
        <v>7.0000000000000001E-3</v>
      </c>
    </row>
    <row r="150" spans="1:11" ht="52.5" customHeight="1" x14ac:dyDescent="0.25">
      <c r="A150" s="243"/>
      <c r="B150" s="118">
        <v>0</v>
      </c>
      <c r="C150" s="12">
        <f t="shared" si="42"/>
        <v>0.01</v>
      </c>
      <c r="D150" s="17" t="s">
        <v>130</v>
      </c>
      <c r="E150" s="39">
        <v>10</v>
      </c>
      <c r="F150" s="12">
        <f>10/1000</f>
        <v>0.01</v>
      </c>
      <c r="G150" s="106">
        <v>0</v>
      </c>
      <c r="H150" s="106">
        <v>0</v>
      </c>
      <c r="I150" s="10" t="str">
        <f t="shared" si="40"/>
        <v>Набір медикаментів та витратних матеріалів / RHKIT8 EMERGENCY REPRODUCTIVE HEALTH (1 комплект – 4 коробки) MPL00001298, п/а, компл</v>
      </c>
      <c r="J150" s="67">
        <f t="shared" si="41"/>
        <v>1.0000000000000009E-3</v>
      </c>
      <c r="K150" s="68">
        <v>8.9999999999999993E-3</v>
      </c>
    </row>
    <row r="151" spans="1:11" ht="52.5" customHeight="1" x14ac:dyDescent="0.25">
      <c r="A151" s="243"/>
      <c r="B151" s="118">
        <v>0</v>
      </c>
      <c r="C151" s="12">
        <f t="shared" si="42"/>
        <v>6.0000000000000001E-3</v>
      </c>
      <c r="D151" s="17" t="s">
        <v>131</v>
      </c>
      <c r="E151" s="39">
        <v>6</v>
      </c>
      <c r="F151" s="12">
        <f>6/1000</f>
        <v>6.0000000000000001E-3</v>
      </c>
      <c r="G151" s="106">
        <v>0</v>
      </c>
      <c r="H151" s="106">
        <v>0</v>
      </c>
      <c r="I151" s="10" t="str">
        <f t="shared" si="40"/>
        <v>Набір медикаментів та витратних матеріалів / RHKIT4 EMERGENCY REPRODUCTIVE HEALTH (1 комплект – 1 коробка) MPL00001264, п/а, компл</v>
      </c>
      <c r="J151" s="67">
        <f t="shared" si="41"/>
        <v>1E-3</v>
      </c>
      <c r="K151" s="68">
        <v>5.0000000000000001E-3</v>
      </c>
    </row>
    <row r="152" spans="1:11" ht="52.5" customHeight="1" x14ac:dyDescent="0.25">
      <c r="A152" s="243"/>
      <c r="B152" s="118">
        <v>0</v>
      </c>
      <c r="C152" s="12">
        <f t="shared" si="42"/>
        <v>1.4E-2</v>
      </c>
      <c r="D152" s="17" t="s">
        <v>132</v>
      </c>
      <c r="E152" s="39">
        <v>14</v>
      </c>
      <c r="F152" s="12">
        <f>14/1000</f>
        <v>1.4E-2</v>
      </c>
      <c r="G152" s="106">
        <v>0</v>
      </c>
      <c r="H152" s="106">
        <v>0</v>
      </c>
      <c r="I152" s="10" t="str">
        <f t="shared" si="40"/>
        <v>Набір медикаментів та витратних матеріалів / RHKIT5 EMERGENCY REPRODUCTIVE HEALTH (1 комплект – 2 коробки) MPL00001682, п/а, компл</v>
      </c>
      <c r="J152" s="67">
        <f t="shared" si="41"/>
        <v>1.0000000000000009E-3</v>
      </c>
      <c r="K152" s="68">
        <v>1.2999999999999999E-2</v>
      </c>
    </row>
    <row r="153" spans="1:11" ht="52.5" customHeight="1" x14ac:dyDescent="0.25">
      <c r="A153" s="243"/>
      <c r="B153" s="118">
        <v>0</v>
      </c>
      <c r="C153" s="12">
        <f t="shared" si="42"/>
        <v>0.01</v>
      </c>
      <c r="D153" s="17" t="s">
        <v>133</v>
      </c>
      <c r="E153" s="39">
        <v>10</v>
      </c>
      <c r="F153" s="12">
        <f>10/1000</f>
        <v>0.01</v>
      </c>
      <c r="G153" s="106">
        <v>0</v>
      </c>
      <c r="H153" s="106">
        <v>0</v>
      </c>
      <c r="I153" s="10" t="str">
        <f t="shared" si="40"/>
        <v>Набір медикаментів та витратних матеріалів / RHKIT6В EMERGENCY REPRODUCTIVE HEALTH (1 комплект – 6 коробок) MPL00001251, п/а, компл</v>
      </c>
      <c r="J153" s="67">
        <f t="shared" si="41"/>
        <v>1.0000000000000009E-3</v>
      </c>
      <c r="K153" s="68">
        <v>8.9999999999999993E-3</v>
      </c>
    </row>
    <row r="154" spans="1:11" ht="52.5" customHeight="1" x14ac:dyDescent="0.25">
      <c r="A154" s="243"/>
      <c r="B154" s="118">
        <v>0</v>
      </c>
      <c r="C154" s="7">
        <f t="shared" si="42"/>
        <v>0.34139999999999998</v>
      </c>
      <c r="D154" s="17" t="s">
        <v>134</v>
      </c>
      <c r="E154" s="39">
        <v>30</v>
      </c>
      <c r="F154" s="7">
        <f>341.4/1000</f>
        <v>0.34139999999999998</v>
      </c>
      <c r="G154" s="106">
        <v>0</v>
      </c>
      <c r="H154" s="106">
        <v>0</v>
      </c>
      <c r="I154" s="10" t="str">
        <f t="shared" si="40"/>
        <v>Полівітаміни з іншими мінералами, включаючи комбінації /15g gran., шт.</v>
      </c>
      <c r="J154" s="71">
        <f t="shared" si="41"/>
        <v>0</v>
      </c>
      <c r="K154" s="69">
        <f>F154</f>
        <v>0.34139999999999998</v>
      </c>
    </row>
    <row r="155" spans="1:11" ht="52.5" customHeight="1" x14ac:dyDescent="0.25">
      <c r="A155" s="243"/>
      <c r="B155" s="118">
        <v>0</v>
      </c>
      <c r="C155" s="7">
        <f t="shared" si="42"/>
        <v>1.9572000000000001</v>
      </c>
      <c r="D155" s="17" t="s">
        <v>135</v>
      </c>
      <c r="E155" s="39">
        <v>210</v>
      </c>
      <c r="F155" s="7">
        <f>1957.2/1000</f>
        <v>1.9572000000000001</v>
      </c>
      <c r="G155" s="106">
        <v>0</v>
      </c>
      <c r="H155" s="106">
        <v>0</v>
      </c>
      <c r="I155" s="10" t="str">
        <f t="shared" si="40"/>
        <v>Полівітаміни з іншими мінералами, включаючи комбінації /2g granulat, шт.</v>
      </c>
      <c r="J155" s="71">
        <f t="shared" si="41"/>
        <v>0</v>
      </c>
      <c r="K155" s="69">
        <f>F155</f>
        <v>1.9572000000000001</v>
      </c>
    </row>
    <row r="156" spans="1:11" ht="52.5" customHeight="1" x14ac:dyDescent="0.25">
      <c r="A156" s="243"/>
      <c r="B156" s="118">
        <v>0</v>
      </c>
      <c r="C156" s="7">
        <f t="shared" si="42"/>
        <v>71.944000000000003</v>
      </c>
      <c r="D156" s="17" t="s">
        <v>136</v>
      </c>
      <c r="E156" s="39">
        <v>400</v>
      </c>
      <c r="F156" s="7">
        <f>71944/1000</f>
        <v>71.944000000000003</v>
      </c>
      <c r="G156" s="106">
        <v>0</v>
      </c>
      <c r="H156" s="106">
        <v>0</v>
      </c>
      <c r="I156" s="10" t="str">
        <f t="shared" si="40"/>
        <v>Електроліти в комбінації з іншими препаратами / Волюлайт 6% 500 мл, флак.</v>
      </c>
      <c r="J156" s="71">
        <f t="shared" si="41"/>
        <v>1.9740000000000038</v>
      </c>
      <c r="K156" s="55">
        <v>69.97</v>
      </c>
    </row>
    <row r="157" spans="1:11" ht="25.5" customHeight="1" x14ac:dyDescent="0.25">
      <c r="A157" s="243"/>
      <c r="B157" s="118">
        <v>0</v>
      </c>
      <c r="C157" s="7">
        <f t="shared" si="42"/>
        <v>0.81200000000000006</v>
      </c>
      <c r="D157" s="17" t="s">
        <v>137</v>
      </c>
      <c r="E157" s="39">
        <v>280</v>
      </c>
      <c r="F157" s="7">
        <f>812/1000</f>
        <v>0.81200000000000006</v>
      </c>
      <c r="G157" s="106">
        <v>0</v>
      </c>
      <c r="H157" s="106">
        <v>0</v>
      </c>
      <c r="I157" s="10" t="str">
        <f t="shared" si="40"/>
        <v>Вода для ін'єкцій 5мл, амп.</v>
      </c>
      <c r="J157" s="71">
        <f t="shared" si="41"/>
        <v>2.200000000000002E-2</v>
      </c>
      <c r="K157" s="55">
        <v>0.79</v>
      </c>
    </row>
    <row r="158" spans="1:11" ht="25.5" customHeight="1" x14ac:dyDescent="0.25">
      <c r="A158" s="243"/>
      <c r="B158" s="118">
        <v>0</v>
      </c>
      <c r="C158" s="7">
        <f t="shared" si="42"/>
        <v>0.5</v>
      </c>
      <c r="D158" s="17" t="s">
        <v>138</v>
      </c>
      <c r="E158" s="39">
        <v>500</v>
      </c>
      <c r="F158" s="7">
        <f>500/1000</f>
        <v>0.5</v>
      </c>
      <c r="G158" s="106">
        <v>0</v>
      </c>
      <c r="H158" s="106">
        <v>0</v>
      </c>
      <c r="I158" s="10" t="str">
        <f t="shared" si="40"/>
        <v>Моксифлоксацин / Авелокс ® таблетки п/о 400мг, табл.</v>
      </c>
      <c r="J158" s="71">
        <f t="shared" si="41"/>
        <v>0</v>
      </c>
      <c r="K158" s="70">
        <v>0.5</v>
      </c>
    </row>
    <row r="159" spans="1:11" ht="35.25" customHeight="1" x14ac:dyDescent="0.25">
      <c r="A159" s="243"/>
      <c r="B159" s="118">
        <v>0</v>
      </c>
      <c r="C159" s="7">
        <f t="shared" si="42"/>
        <v>0.2</v>
      </c>
      <c r="D159" s="17" t="s">
        <v>139</v>
      </c>
      <c r="E159" s="39">
        <v>200</v>
      </c>
      <c r="F159" s="7">
        <f>200/1000</f>
        <v>0.2</v>
      </c>
      <c r="G159" s="106">
        <v>0</v>
      </c>
      <c r="H159" s="106">
        <v>0</v>
      </c>
      <c r="I159" s="10" t="str">
        <f t="shared" si="40"/>
        <v>Моксифлоксацин / Авелокс ® розчин для інфузій 250мл (400мг), флак.</v>
      </c>
      <c r="J159" s="71">
        <f t="shared" si="41"/>
        <v>0</v>
      </c>
      <c r="K159" s="70">
        <v>0.2</v>
      </c>
    </row>
    <row r="160" spans="1:11" ht="41.25" customHeight="1" x14ac:dyDescent="0.25">
      <c r="A160" s="243"/>
      <c r="B160" s="118">
        <v>0</v>
      </c>
      <c r="C160" s="7">
        <f t="shared" si="42"/>
        <v>0.3</v>
      </c>
      <c r="D160" s="17" t="s">
        <v>140</v>
      </c>
      <c r="E160" s="39">
        <v>300</v>
      </c>
      <c r="F160" s="7">
        <f>300/1000</f>
        <v>0.3</v>
      </c>
      <c r="G160" s="106">
        <v>0</v>
      </c>
      <c r="H160" s="106">
        <v>0</v>
      </c>
      <c r="I160" s="10" t="str">
        <f t="shared" si="40"/>
        <v>Термоковдра на поліетиленовій основі завширшки 160см, завдовжки 210см,для надання першої допомоги, шт.</v>
      </c>
      <c r="J160" s="71">
        <f t="shared" si="41"/>
        <v>1.0000000000000009E-2</v>
      </c>
      <c r="K160" s="72">
        <v>0.28999999999999998</v>
      </c>
    </row>
    <row r="161" spans="1:11" ht="25.5" customHeight="1" x14ac:dyDescent="0.25">
      <c r="A161" s="243"/>
      <c r="B161" s="118">
        <v>0</v>
      </c>
      <c r="C161" s="7">
        <f t="shared" si="42"/>
        <v>4.3289999999999997</v>
      </c>
      <c r="D161" s="17" t="s">
        <v>141</v>
      </c>
      <c r="E161" s="39">
        <v>300</v>
      </c>
      <c r="F161" s="7">
        <f>4329/1000</f>
        <v>4.3289999999999997</v>
      </c>
      <c r="G161" s="106">
        <v>0</v>
      </c>
      <c r="H161" s="106">
        <v>0</v>
      </c>
      <c r="I161" s="10" t="str">
        <f t="shared" si="40"/>
        <v>Витратні матеріали/ Канюлі G16 без ін'єкційного порту, шт.</v>
      </c>
      <c r="J161" s="71">
        <f t="shared" si="41"/>
        <v>0</v>
      </c>
      <c r="K161" s="72">
        <v>4.3289999999999997</v>
      </c>
    </row>
    <row r="162" spans="1:11" ht="25.5" customHeight="1" x14ac:dyDescent="0.25">
      <c r="A162" s="243"/>
      <c r="B162" s="118">
        <v>0</v>
      </c>
      <c r="C162" s="7">
        <f t="shared" si="42"/>
        <v>0.35</v>
      </c>
      <c r="D162" s="17" t="s">
        <v>142</v>
      </c>
      <c r="E162" s="39">
        <v>350</v>
      </c>
      <c r="F162" s="7">
        <f>350/1000</f>
        <v>0.35</v>
      </c>
      <c r="G162" s="106">
        <v>0</v>
      </c>
      <c r="H162" s="106">
        <v>0</v>
      </c>
      <c r="I162" s="10" t="str">
        <f t="shared" si="40"/>
        <v>Рукавиці оглядові нестерильні, пар.</v>
      </c>
      <c r="J162" s="71">
        <f t="shared" si="41"/>
        <v>0.35</v>
      </c>
      <c r="K162" s="70">
        <v>0</v>
      </c>
    </row>
    <row r="163" spans="1:11" ht="25.5" customHeight="1" x14ac:dyDescent="0.25">
      <c r="A163" s="243"/>
      <c r="B163" s="118">
        <v>0</v>
      </c>
      <c r="C163" s="7">
        <f t="shared" si="42"/>
        <v>5.0000000000000001E-3</v>
      </c>
      <c r="D163" s="17" t="s">
        <v>143</v>
      </c>
      <c r="E163" s="39">
        <v>5</v>
      </c>
      <c r="F163" s="12">
        <f>5/1000</f>
        <v>5.0000000000000001E-3</v>
      </c>
      <c r="G163" s="106">
        <v>0</v>
      </c>
      <c r="H163" s="106">
        <v>0</v>
      </c>
      <c r="I163" s="10" t="str">
        <f t="shared" si="40"/>
        <v>Спірометр стимулюючий 4000мл, п/а, шт.</v>
      </c>
      <c r="J163" s="66">
        <f t="shared" si="41"/>
        <v>5.0000000000000001E-3</v>
      </c>
      <c r="K163" s="69">
        <v>0</v>
      </c>
    </row>
    <row r="164" spans="1:11" ht="25.5" customHeight="1" x14ac:dyDescent="0.25">
      <c r="A164" s="243"/>
      <c r="B164" s="118">
        <v>0</v>
      </c>
      <c r="C164" s="7">
        <f t="shared" si="42"/>
        <v>0.02</v>
      </c>
      <c r="D164" s="17" t="s">
        <v>144</v>
      </c>
      <c r="E164" s="39">
        <v>20</v>
      </c>
      <c r="F164" s="7">
        <f>20/1000</f>
        <v>0.02</v>
      </c>
      <c r="G164" s="106">
        <v>0</v>
      </c>
      <c r="H164" s="106">
        <v>0</v>
      </c>
      <c r="I164" s="10" t="str">
        <f t="shared" si="40"/>
        <v>Педіатричний пульсоксиметр датчик з наклейкою</v>
      </c>
      <c r="J164" s="71">
        <f t="shared" si="41"/>
        <v>0</v>
      </c>
      <c r="K164" s="69">
        <v>0.02</v>
      </c>
    </row>
    <row r="165" spans="1:11" ht="25.5" customHeight="1" x14ac:dyDescent="0.25">
      <c r="A165" s="243"/>
      <c r="B165" s="118">
        <v>0</v>
      </c>
      <c r="C165" s="7">
        <f t="shared" si="42"/>
        <v>0.02</v>
      </c>
      <c r="D165" s="17" t="s">
        <v>145</v>
      </c>
      <c r="E165" s="39">
        <v>20</v>
      </c>
      <c r="F165" s="7">
        <f>20/1000</f>
        <v>0.02</v>
      </c>
      <c r="G165" s="106">
        <v>0</v>
      </c>
      <c r="H165" s="106">
        <v>0</v>
      </c>
      <c r="I165" s="10" t="str">
        <f t="shared" si="40"/>
        <v>Датчик пульса з наклейкою для дорослих та дітей, шт.</v>
      </c>
      <c r="J165" s="66">
        <f t="shared" si="41"/>
        <v>0.02</v>
      </c>
      <c r="K165" s="69">
        <v>0</v>
      </c>
    </row>
    <row r="166" spans="1:11" ht="25.5" customHeight="1" x14ac:dyDescent="0.25">
      <c r="A166" s="243"/>
      <c r="B166" s="118">
        <v>0</v>
      </c>
      <c r="C166" s="7">
        <f t="shared" si="42"/>
        <v>0.02</v>
      </c>
      <c r="D166" s="17" t="s">
        <v>146</v>
      </c>
      <c r="E166" s="39">
        <v>20</v>
      </c>
      <c r="F166" s="7">
        <f>20/1000</f>
        <v>0.02</v>
      </c>
      <c r="G166" s="106">
        <v>0</v>
      </c>
      <c r="H166" s="106">
        <v>0</v>
      </c>
      <c r="I166" s="10" t="str">
        <f t="shared" si="40"/>
        <v>Датчик пульса з наклейкою для дорослих, шт.</v>
      </c>
      <c r="J166" s="66">
        <f t="shared" si="41"/>
        <v>0.02</v>
      </c>
      <c r="K166" s="69">
        <v>0</v>
      </c>
    </row>
    <row r="167" spans="1:11" ht="25.5" customHeight="1" thickBot="1" x14ac:dyDescent="0.3">
      <c r="A167" s="244"/>
      <c r="B167" s="120">
        <v>1</v>
      </c>
      <c r="C167" s="20">
        <f t="shared" si="42"/>
        <v>0.4</v>
      </c>
      <c r="D167" s="36" t="s">
        <v>147</v>
      </c>
      <c r="E167" s="40">
        <v>400</v>
      </c>
      <c r="F167" s="20">
        <f>400/1000</f>
        <v>0.4</v>
      </c>
      <c r="G167" s="115">
        <v>0</v>
      </c>
      <c r="H167" s="115">
        <v>0</v>
      </c>
      <c r="I167" s="22" t="str">
        <f t="shared" si="40"/>
        <v>Серветки сухі, шт.</v>
      </c>
      <c r="J167" s="73">
        <f t="shared" ref="J167:J206" si="43">F167-K167</f>
        <v>0.4</v>
      </c>
      <c r="K167" s="74">
        <v>0</v>
      </c>
    </row>
    <row r="168" spans="1:11" ht="51.75" customHeight="1" x14ac:dyDescent="0.25">
      <c r="A168" s="242" t="s">
        <v>217</v>
      </c>
      <c r="B168" s="245" t="s">
        <v>77</v>
      </c>
      <c r="C168" s="246"/>
      <c r="D168" s="246"/>
      <c r="E168" s="246"/>
      <c r="F168" s="23">
        <f>F169+F170+F171+F172+F173+F174+F175+F176+F177+F178+F179+F180+F181+F182+F183+F184+F185+F186+F187+F188+F189+F190+F191+F192+F193+F194+F195+F196+F197+F198+F199+F200+F201+F202+F203+F204+F205+F206+F207+F208</f>
        <v>147.41654400000002</v>
      </c>
      <c r="G168" s="247" t="s">
        <v>77</v>
      </c>
      <c r="H168" s="247"/>
      <c r="I168" s="247"/>
      <c r="J168" s="75">
        <f>J169+J170+J171+J172+J173+J174+J175+J176+J177+J178+J179+J180+J181+J182+J183+J184+J185+J186+J187+J188+J189+J190+J191+J192+J193+J194+J195+J196+J197+J198+J199+J200+J201+J202+J203+J204+J205+J206+J207+J208</f>
        <v>39.106600000000007</v>
      </c>
      <c r="K168" s="148">
        <f>SUM(K169:K208)</f>
        <v>108.30994399999999</v>
      </c>
    </row>
    <row r="169" spans="1:11" ht="39" customHeight="1" x14ac:dyDescent="0.25">
      <c r="A169" s="243"/>
      <c r="B169" s="118">
        <v>1</v>
      </c>
      <c r="C169" s="33">
        <f>F167:F169</f>
        <v>0.2</v>
      </c>
      <c r="D169" s="17" t="s">
        <v>148</v>
      </c>
      <c r="E169" s="39">
        <v>200</v>
      </c>
      <c r="F169" s="33">
        <f>200/1000</f>
        <v>0.2</v>
      </c>
      <c r="G169" s="106">
        <v>0</v>
      </c>
      <c r="H169" s="106">
        <v>0</v>
      </c>
      <c r="I169" s="10" t="str">
        <f t="shared" ref="I169:I208" si="44">D169</f>
        <v>Витратні матеріали / Подовжувач інфузійний / BD Alaris 200cm 1,5ml, шт.</v>
      </c>
      <c r="J169" s="71">
        <f t="shared" si="43"/>
        <v>0</v>
      </c>
      <c r="K169" s="69">
        <v>0.2</v>
      </c>
    </row>
    <row r="170" spans="1:11" ht="39" customHeight="1" x14ac:dyDescent="0.25">
      <c r="A170" s="243"/>
      <c r="B170" s="118">
        <v>1</v>
      </c>
      <c r="C170" s="33">
        <f t="shared" ref="C170:C208" si="45">F169:F170</f>
        <v>1.2</v>
      </c>
      <c r="D170" s="17" t="s">
        <v>149</v>
      </c>
      <c r="E170" s="39">
        <v>1200</v>
      </c>
      <c r="F170" s="33">
        <f>1200/1000</f>
        <v>1.2</v>
      </c>
      <c r="G170" s="106">
        <v>0</v>
      </c>
      <c r="H170" s="106">
        <v>0</v>
      </c>
      <c r="I170" s="10" t="str">
        <f t="shared" si="44"/>
        <v>Витратні матеріали / Шапочка мед.одноразова, синього кольору, шт.</v>
      </c>
      <c r="J170" s="66">
        <f t="shared" si="43"/>
        <v>5.4999999999999938E-2</v>
      </c>
      <c r="K170" s="69">
        <v>1.145</v>
      </c>
    </row>
    <row r="171" spans="1:11" ht="39" customHeight="1" x14ac:dyDescent="0.25">
      <c r="A171" s="243"/>
      <c r="B171" s="118">
        <v>1</v>
      </c>
      <c r="C171" s="33">
        <f t="shared" si="45"/>
        <v>0.28000000000000003</v>
      </c>
      <c r="D171" s="17" t="s">
        <v>150</v>
      </c>
      <c r="E171" s="39">
        <v>280</v>
      </c>
      <c r="F171" s="33">
        <f>280/1000</f>
        <v>0.28000000000000003</v>
      </c>
      <c r="G171" s="106">
        <v>0</v>
      </c>
      <c r="H171" s="106">
        <v>0</v>
      </c>
      <c r="I171" s="10" t="str">
        <f t="shared" si="44"/>
        <v>Ривароксабан / Ксарелто табл.в/о 20мг, табл.</v>
      </c>
      <c r="J171" s="71">
        <f t="shared" si="43"/>
        <v>0</v>
      </c>
      <c r="K171" s="69">
        <v>0.28000000000000003</v>
      </c>
    </row>
    <row r="172" spans="1:11" ht="39" customHeight="1" x14ac:dyDescent="0.25">
      <c r="A172" s="243"/>
      <c r="B172" s="118">
        <v>1</v>
      </c>
      <c r="C172" s="33">
        <f t="shared" si="45"/>
        <v>0.155</v>
      </c>
      <c r="D172" s="17" t="s">
        <v>151</v>
      </c>
      <c r="E172" s="39">
        <v>155</v>
      </c>
      <c r="F172" s="33">
        <f>155/1000</f>
        <v>0.155</v>
      </c>
      <c r="G172" s="106">
        <v>0</v>
      </c>
      <c r="H172" s="106">
        <v>0</v>
      </c>
      <c r="I172" s="10" t="str">
        <f t="shared" si="44"/>
        <v>Пропофол / Diprivan 1% 20мл, флак.</v>
      </c>
      <c r="J172" s="66">
        <f t="shared" si="43"/>
        <v>6.6000000000000003E-2</v>
      </c>
      <c r="K172" s="69">
        <v>8.8999999999999996E-2</v>
      </c>
    </row>
    <row r="173" spans="1:11" ht="39" customHeight="1" x14ac:dyDescent="0.25">
      <c r="A173" s="243"/>
      <c r="B173" s="118">
        <v>1</v>
      </c>
      <c r="C173" s="33">
        <f t="shared" si="45"/>
        <v>0.1</v>
      </c>
      <c r="D173" s="17" t="s">
        <v>152</v>
      </c>
      <c r="E173" s="39">
        <v>100</v>
      </c>
      <c r="F173" s="33">
        <f>100/1000</f>
        <v>0.1</v>
      </c>
      <c r="G173" s="106">
        <v>0</v>
      </c>
      <c r="H173" s="106">
        <v>0</v>
      </c>
      <c r="I173" s="10" t="str">
        <f t="shared" si="44"/>
        <v>Бупівакаїн / Маркаїн розчин д.ін 5мг/мл 20мл, амп.</v>
      </c>
      <c r="J173" s="71">
        <f t="shared" si="43"/>
        <v>0</v>
      </c>
      <c r="K173" s="69">
        <v>0.1</v>
      </c>
    </row>
    <row r="174" spans="1:11" ht="39" customHeight="1" x14ac:dyDescent="0.25">
      <c r="A174" s="243"/>
      <c r="B174" s="118">
        <v>1</v>
      </c>
      <c r="C174" s="33">
        <f t="shared" si="45"/>
        <v>1.8</v>
      </c>
      <c r="D174" s="17" t="s">
        <v>153</v>
      </c>
      <c r="E174" s="39">
        <v>1800</v>
      </c>
      <c r="F174" s="33">
        <f>1800/1000</f>
        <v>1.8</v>
      </c>
      <c r="G174" s="106">
        <v>0</v>
      </c>
      <c r="H174" s="106">
        <v>0</v>
      </c>
      <c r="I174" s="10" t="str">
        <f t="shared" si="44"/>
        <v>Шприци з голками (різного обсягу) / Шприци 5мл, шт.</v>
      </c>
      <c r="J174" s="71">
        <f t="shared" si="43"/>
        <v>0</v>
      </c>
      <c r="K174" s="69">
        <v>1.8</v>
      </c>
    </row>
    <row r="175" spans="1:11" ht="45.75" customHeight="1" x14ac:dyDescent="0.25">
      <c r="A175" s="243"/>
      <c r="B175" s="118">
        <v>1</v>
      </c>
      <c r="C175" s="33">
        <f t="shared" si="45"/>
        <v>0.4</v>
      </c>
      <c r="D175" s="17" t="s">
        <v>154</v>
      </c>
      <c r="E175" s="39">
        <v>400</v>
      </c>
      <c r="F175" s="33">
        <f>400/1000</f>
        <v>0.4</v>
      </c>
      <c r="G175" s="106">
        <v>0</v>
      </c>
      <c r="H175" s="106">
        <v>0</v>
      </c>
      <c r="I175" s="10" t="str">
        <f t="shared" si="44"/>
        <v>Крапельниці та катетери / Закрита катетерна система 20GA  1,25IN, 1,1x32mm, шт.</v>
      </c>
      <c r="J175" s="71">
        <f t="shared" si="43"/>
        <v>0</v>
      </c>
      <c r="K175" s="69">
        <v>0.4</v>
      </c>
    </row>
    <row r="176" spans="1:11" ht="42" customHeight="1" x14ac:dyDescent="0.25">
      <c r="A176" s="243"/>
      <c r="B176" s="118">
        <v>1</v>
      </c>
      <c r="C176" s="33">
        <f t="shared" si="45"/>
        <v>0.05</v>
      </c>
      <c r="D176" s="17" t="s">
        <v>155</v>
      </c>
      <c r="E176" s="39">
        <v>50</v>
      </c>
      <c r="F176" s="33">
        <f>50/1000</f>
        <v>0.05</v>
      </c>
      <c r="G176" s="106">
        <v>0</v>
      </c>
      <c r="H176" s="106">
        <v>0</v>
      </c>
      <c r="I176" s="10" t="str">
        <f t="shared" si="44"/>
        <v>Катетери для периферичних вен (різних розмірів) / Внутрішньовенний катетер з захисною плівкою 1,8х45мм 16G, шт.</v>
      </c>
      <c r="J176" s="71">
        <f t="shared" si="43"/>
        <v>0</v>
      </c>
      <c r="K176" s="69">
        <v>0.05</v>
      </c>
    </row>
    <row r="177" spans="1:11" ht="30.75" customHeight="1" x14ac:dyDescent="0.25">
      <c r="A177" s="243"/>
      <c r="B177" s="118">
        <v>1</v>
      </c>
      <c r="C177" s="33">
        <f t="shared" si="45"/>
        <v>8.9348399999999994</v>
      </c>
      <c r="D177" s="17" t="s">
        <v>156</v>
      </c>
      <c r="E177" s="39">
        <v>540</v>
      </c>
      <c r="F177" s="33">
        <f>8934.84/1000</f>
        <v>8.9348399999999994</v>
      </c>
      <c r="G177" s="106">
        <v>0</v>
      </c>
      <c r="H177" s="106">
        <v>0</v>
      </c>
      <c r="I177" s="10" t="str">
        <f t="shared" si="44"/>
        <v>Підгузки дорослі / Підгузки для дорослих, розмір XL, шт.</v>
      </c>
      <c r="J177" s="71">
        <f t="shared" si="43"/>
        <v>0</v>
      </c>
      <c r="K177" s="69">
        <f>F177</f>
        <v>8.9348399999999994</v>
      </c>
    </row>
    <row r="178" spans="1:11" ht="30.75" customHeight="1" x14ac:dyDescent="0.25">
      <c r="A178" s="243"/>
      <c r="B178" s="118">
        <v>1</v>
      </c>
      <c r="C178" s="33">
        <f t="shared" si="45"/>
        <v>8.4931200000000011</v>
      </c>
      <c r="D178" s="17" t="s">
        <v>157</v>
      </c>
      <c r="E178" s="39">
        <v>480</v>
      </c>
      <c r="F178" s="33">
        <f>8493.12/1000</f>
        <v>8.4931200000000011</v>
      </c>
      <c r="G178" s="106">
        <v>0</v>
      </c>
      <c r="H178" s="106">
        <v>0</v>
      </c>
      <c r="I178" s="10" t="str">
        <f t="shared" si="44"/>
        <v>Підгузки дорослі / Підгузки для дорослих, розмір L, шт.</v>
      </c>
      <c r="J178" s="71">
        <f t="shared" si="43"/>
        <v>0</v>
      </c>
      <c r="K178" s="69">
        <f>F178</f>
        <v>8.4931200000000011</v>
      </c>
    </row>
    <row r="179" spans="1:11" ht="43.5" customHeight="1" x14ac:dyDescent="0.25">
      <c r="A179" s="243"/>
      <c r="B179" s="118">
        <v>1</v>
      </c>
      <c r="C179" s="33">
        <f t="shared" si="45"/>
        <v>0.93620000000000003</v>
      </c>
      <c r="D179" s="17" t="s">
        <v>158</v>
      </c>
      <c r="E179" s="39">
        <v>2000</v>
      </c>
      <c r="F179" s="33">
        <f>936.2/1000</f>
        <v>0.93620000000000003</v>
      </c>
      <c r="G179" s="106">
        <v>0</v>
      </c>
      <c r="H179" s="106">
        <v>0</v>
      </c>
      <c r="I179" s="10" t="str">
        <f t="shared" si="44"/>
        <v>Залізо, вітамін В12 та фолієва кислота / Ferrous salt 60mg iron / Folic acid 0,4mg табл.</v>
      </c>
      <c r="J179" s="66">
        <f t="shared" si="43"/>
        <v>0.43620000000000003</v>
      </c>
      <c r="K179" s="69">
        <v>0.5</v>
      </c>
    </row>
    <row r="180" spans="1:11" ht="30.75" customHeight="1" x14ac:dyDescent="0.25">
      <c r="A180" s="243"/>
      <c r="B180" s="118">
        <v>1</v>
      </c>
      <c r="C180" s="33">
        <f t="shared" si="45"/>
        <v>30.794400000000003</v>
      </c>
      <c r="D180" s="17" t="s">
        <v>159</v>
      </c>
      <c r="E180" s="39">
        <v>140</v>
      </c>
      <c r="F180" s="33">
        <f>30794.4/1000</f>
        <v>30.794400000000003</v>
      </c>
      <c r="G180" s="106">
        <v>0</v>
      </c>
      <c r="H180" s="106">
        <v>0</v>
      </c>
      <c r="I180" s="10" t="str">
        <f t="shared" si="44"/>
        <v>Норетинодрел та естроген / LOESTRIN FE 1,5mg-0,03mg, табл.</v>
      </c>
      <c r="J180" s="66">
        <f t="shared" si="43"/>
        <v>30.794400000000003</v>
      </c>
      <c r="K180" s="69">
        <v>0</v>
      </c>
    </row>
    <row r="181" spans="1:11" ht="30.75" customHeight="1" x14ac:dyDescent="0.25">
      <c r="A181" s="243"/>
      <c r="B181" s="118">
        <v>1</v>
      </c>
      <c r="C181" s="33">
        <f t="shared" si="45"/>
        <v>10.861000000000001</v>
      </c>
      <c r="D181" s="17" t="s">
        <v>160</v>
      </c>
      <c r="E181" s="39">
        <v>100</v>
      </c>
      <c r="F181" s="33">
        <f>10861/1000</f>
        <v>10.861000000000001</v>
      </c>
      <c r="G181" s="106">
        <v>0</v>
      </c>
      <c r="H181" s="106">
        <v>0</v>
      </c>
      <c r="I181" s="10" t="str">
        <f t="shared" si="44"/>
        <v>Окуляри захисні / Захисні окуляри з еластичною пов'язкою на голову, шт.</v>
      </c>
      <c r="J181" s="66">
        <f t="shared" si="43"/>
        <v>0.39100000000000001</v>
      </c>
      <c r="K181" s="69">
        <v>10.47</v>
      </c>
    </row>
    <row r="182" spans="1:11" ht="40.5" customHeight="1" x14ac:dyDescent="0.25">
      <c r="A182" s="243"/>
      <c r="B182" s="118">
        <v>1</v>
      </c>
      <c r="C182" s="33">
        <f t="shared" si="45"/>
        <v>5.4450000000000003</v>
      </c>
      <c r="D182" s="17" t="s">
        <v>161</v>
      </c>
      <c r="E182" s="39">
        <v>900</v>
      </c>
      <c r="F182" s="33">
        <f>5445/1000</f>
        <v>5.4450000000000003</v>
      </c>
      <c r="G182" s="106">
        <v>0</v>
      </c>
      <c r="H182" s="106">
        <v>0</v>
      </c>
      <c r="I182" s="10" t="str">
        <f t="shared" si="44"/>
        <v>Шприци з голками (різного обсягу) / Шприц з безпечною голкою 25G х 1", шт.</v>
      </c>
      <c r="J182" s="71">
        <f t="shared" si="43"/>
        <v>0</v>
      </c>
      <c r="K182" s="69">
        <v>5.4450000000000003</v>
      </c>
    </row>
    <row r="183" spans="1:11" ht="22.5" customHeight="1" x14ac:dyDescent="0.25">
      <c r="A183" s="243"/>
      <c r="B183" s="118">
        <v>1</v>
      </c>
      <c r="C183" s="33">
        <f t="shared" si="45"/>
        <v>0.05</v>
      </c>
      <c r="D183" s="17" t="s">
        <v>162</v>
      </c>
      <c r="E183" s="39">
        <v>50</v>
      </c>
      <c r="F183" s="33">
        <f>50/1000</f>
        <v>0.05</v>
      </c>
      <c r="G183" s="106">
        <v>0</v>
      </c>
      <c r="H183" s="106">
        <v>0</v>
      </c>
      <c r="I183" s="10" t="str">
        <f t="shared" si="44"/>
        <v>Еноксапарин 60мг/0,6мл, амп.</v>
      </c>
      <c r="J183" s="66">
        <f t="shared" si="43"/>
        <v>3.8000000000000006E-2</v>
      </c>
      <c r="K183" s="69">
        <v>1.2E-2</v>
      </c>
    </row>
    <row r="184" spans="1:11" ht="22.5" customHeight="1" x14ac:dyDescent="0.25">
      <c r="A184" s="243"/>
      <c r="B184" s="118">
        <v>1</v>
      </c>
      <c r="C184" s="33">
        <f t="shared" si="45"/>
        <v>0.15</v>
      </c>
      <c r="D184" s="17" t="s">
        <v>163</v>
      </c>
      <c r="E184" s="39">
        <v>150</v>
      </c>
      <c r="F184" s="33">
        <f>150/1000</f>
        <v>0.15</v>
      </c>
      <c r="G184" s="106">
        <v>0</v>
      </c>
      <c r="H184" s="106">
        <v>0</v>
      </c>
      <c r="I184" s="10" t="str">
        <f t="shared" si="44"/>
        <v>Еноксапарин 40мг/0,4мл, амп.</v>
      </c>
      <c r="J184" s="71">
        <f t="shared" si="43"/>
        <v>0</v>
      </c>
      <c r="K184" s="69">
        <v>0.15</v>
      </c>
    </row>
    <row r="185" spans="1:11" ht="22.5" customHeight="1" x14ac:dyDescent="0.25">
      <c r="A185" s="243"/>
      <c r="B185" s="118">
        <v>1</v>
      </c>
      <c r="C185" s="33">
        <f t="shared" si="45"/>
        <v>1.89</v>
      </c>
      <c r="D185" s="17" t="s">
        <v>164</v>
      </c>
      <c r="E185" s="39">
        <v>1890</v>
      </c>
      <c r="F185" s="33">
        <f>1890/1000</f>
        <v>1.89</v>
      </c>
      <c r="G185" s="106">
        <v>0</v>
      </c>
      <c r="H185" s="106">
        <v>0</v>
      </c>
      <c r="I185" s="10" t="str">
        <f t="shared" si="44"/>
        <v>Етинілестрадіол, табл.</v>
      </c>
      <c r="J185" s="66">
        <f t="shared" si="43"/>
        <v>0.12599999999999989</v>
      </c>
      <c r="K185" s="69">
        <v>1.764</v>
      </c>
    </row>
    <row r="186" spans="1:11" ht="22.5" customHeight="1" x14ac:dyDescent="0.25">
      <c r="A186" s="243"/>
      <c r="B186" s="118">
        <v>1</v>
      </c>
      <c r="C186" s="33">
        <f t="shared" si="45"/>
        <v>0.01</v>
      </c>
      <c r="D186" s="17" t="s">
        <v>165</v>
      </c>
      <c r="E186" s="39">
        <v>10</v>
      </c>
      <c r="F186" s="12">
        <f>10/1000</f>
        <v>0.01</v>
      </c>
      <c r="G186" s="106">
        <v>0</v>
      </c>
      <c r="H186" s="106">
        <v>0</v>
      </c>
      <c r="I186" s="10" t="str">
        <f t="shared" si="44"/>
        <v>Набір для промивання шлунка, шт.</v>
      </c>
      <c r="J186" s="71">
        <f t="shared" si="43"/>
        <v>0</v>
      </c>
      <c r="K186" s="69">
        <v>0.01</v>
      </c>
    </row>
    <row r="187" spans="1:11" ht="30.75" customHeight="1" x14ac:dyDescent="0.25">
      <c r="A187" s="243"/>
      <c r="B187" s="118">
        <v>1</v>
      </c>
      <c r="C187" s="33">
        <f t="shared" si="45"/>
        <v>0.2</v>
      </c>
      <c r="D187" s="17" t="s">
        <v>166</v>
      </c>
      <c r="E187" s="39">
        <v>200</v>
      </c>
      <c r="F187" s="33">
        <f>200/1000</f>
        <v>0.2</v>
      </c>
      <c r="G187" s="106">
        <v>0</v>
      </c>
      <c r="H187" s="106">
        <v>0</v>
      </c>
      <c r="I187" s="10" t="str">
        <f t="shared" si="44"/>
        <v>Рукавички медичні оглядові нітрилові нестерильні (розмір L), шт.</v>
      </c>
      <c r="J187" s="71">
        <f t="shared" si="43"/>
        <v>0</v>
      </c>
      <c r="K187" s="69">
        <v>0.2</v>
      </c>
    </row>
    <row r="188" spans="1:11" ht="30.75" customHeight="1" x14ac:dyDescent="0.25">
      <c r="A188" s="243"/>
      <c r="B188" s="118">
        <v>1</v>
      </c>
      <c r="C188" s="12">
        <f t="shared" si="45"/>
        <v>1E-3</v>
      </c>
      <c r="D188" s="17" t="s">
        <v>167</v>
      </c>
      <c r="E188" s="39">
        <v>1</v>
      </c>
      <c r="F188" s="12">
        <f>1/1000</f>
        <v>1E-3</v>
      </c>
      <c r="G188" s="106">
        <v>0</v>
      </c>
      <c r="H188" s="106">
        <v>0</v>
      </c>
      <c r="I188" s="10" t="str">
        <f t="shared" si="44"/>
        <v>Набір для катетеризації сечового міхура, шт.</v>
      </c>
      <c r="J188" s="71">
        <f t="shared" si="43"/>
        <v>0</v>
      </c>
      <c r="K188" s="69">
        <v>1E-3</v>
      </c>
    </row>
    <row r="189" spans="1:11" ht="30.75" customHeight="1" x14ac:dyDescent="0.25">
      <c r="A189" s="243"/>
      <c r="B189" s="118">
        <v>1</v>
      </c>
      <c r="C189" s="33">
        <f t="shared" si="45"/>
        <v>0.5</v>
      </c>
      <c r="D189" s="17" t="s">
        <v>168</v>
      </c>
      <c r="E189" s="39">
        <v>500</v>
      </c>
      <c r="F189" s="34">
        <f>500/1000</f>
        <v>0.5</v>
      </c>
      <c r="G189" s="106">
        <v>0</v>
      </c>
      <c r="H189" s="106">
        <v>0</v>
      </c>
      <c r="I189" s="10" t="str">
        <f t="shared" si="44"/>
        <v>Витратні матеріали / Urine bag 2 I,non-ret. Valves, шт.</v>
      </c>
      <c r="J189" s="71">
        <f t="shared" si="43"/>
        <v>0</v>
      </c>
      <c r="K189" s="69">
        <v>0.5</v>
      </c>
    </row>
    <row r="190" spans="1:11" ht="30.75" customHeight="1" x14ac:dyDescent="0.25">
      <c r="A190" s="243"/>
      <c r="B190" s="118">
        <v>1</v>
      </c>
      <c r="C190" s="33">
        <f t="shared" si="45"/>
        <v>0.1</v>
      </c>
      <c r="D190" s="17" t="s">
        <v>168</v>
      </c>
      <c r="E190" s="39">
        <v>100</v>
      </c>
      <c r="F190" s="34">
        <f>100/1000</f>
        <v>0.1</v>
      </c>
      <c r="G190" s="106">
        <v>0</v>
      </c>
      <c r="H190" s="106">
        <v>0</v>
      </c>
      <c r="I190" s="10" t="str">
        <f t="shared" si="44"/>
        <v>Витратні матеріали / Urine bag 2 I,non-ret. Valves, шт.</v>
      </c>
      <c r="J190" s="71">
        <f t="shared" si="43"/>
        <v>0</v>
      </c>
      <c r="K190" s="69">
        <v>0.1</v>
      </c>
    </row>
    <row r="191" spans="1:11" ht="30.75" customHeight="1" x14ac:dyDescent="0.25">
      <c r="A191" s="243"/>
      <c r="B191" s="118">
        <v>1</v>
      </c>
      <c r="C191" s="33">
        <f t="shared" si="45"/>
        <v>0.05</v>
      </c>
      <c r="D191" s="17" t="s">
        <v>169</v>
      </c>
      <c r="E191" s="39">
        <v>50</v>
      </c>
      <c r="F191" s="33">
        <f>50/1000</f>
        <v>0.05</v>
      </c>
      <c r="G191" s="106">
        <v>0</v>
      </c>
      <c r="H191" s="106">
        <v>0</v>
      </c>
      <c r="I191" s="10" t="str">
        <f t="shared" si="44"/>
        <v>Витратні матеріали / Nasal oxygen cannula 2 prongs+tube, шт.</v>
      </c>
      <c r="J191" s="71">
        <f t="shared" si="43"/>
        <v>0</v>
      </c>
      <c r="K191" s="69">
        <v>0.05</v>
      </c>
    </row>
    <row r="192" spans="1:11" ht="30.75" customHeight="1" thickBot="1" x14ac:dyDescent="0.3">
      <c r="A192" s="244"/>
      <c r="B192" s="120">
        <v>1</v>
      </c>
      <c r="C192" s="35">
        <f t="shared" si="45"/>
        <v>1</v>
      </c>
      <c r="D192" s="36" t="s">
        <v>170</v>
      </c>
      <c r="E192" s="40">
        <v>1000</v>
      </c>
      <c r="F192" s="35">
        <f>1000/1000</f>
        <v>1</v>
      </c>
      <c r="G192" s="115">
        <v>0</v>
      </c>
      <c r="H192" s="115">
        <v>0</v>
      </c>
      <c r="I192" s="22" t="str">
        <f t="shared" si="44"/>
        <v>Рукавички медичні оглядові нітрилові нестерильні (розмір S), шт.</v>
      </c>
      <c r="J192" s="101">
        <f t="shared" si="43"/>
        <v>0</v>
      </c>
      <c r="K192" s="74">
        <v>1</v>
      </c>
    </row>
    <row r="193" spans="1:11" ht="36" customHeight="1" x14ac:dyDescent="0.25">
      <c r="A193" s="242" t="s">
        <v>217</v>
      </c>
      <c r="B193" s="144">
        <v>1</v>
      </c>
      <c r="C193" s="149">
        <f t="shared" si="45"/>
        <v>3.6</v>
      </c>
      <c r="D193" s="150" t="s">
        <v>171</v>
      </c>
      <c r="E193" s="151">
        <v>3600</v>
      </c>
      <c r="F193" s="149">
        <f>3600/1000</f>
        <v>3.6</v>
      </c>
      <c r="G193" s="145">
        <v>0</v>
      </c>
      <c r="H193" s="145">
        <v>0</v>
      </c>
      <c r="I193" s="45" t="str">
        <f t="shared" si="44"/>
        <v>Рукавички медичні оглядові нітрилові нестерильні (розмір M), шт.</v>
      </c>
      <c r="J193" s="152">
        <f t="shared" si="43"/>
        <v>0</v>
      </c>
      <c r="K193" s="148">
        <v>3.6</v>
      </c>
    </row>
    <row r="194" spans="1:11" ht="36" customHeight="1" x14ac:dyDescent="0.25">
      <c r="A194" s="243"/>
      <c r="B194" s="118">
        <v>1</v>
      </c>
      <c r="C194" s="33">
        <f t="shared" si="45"/>
        <v>0.3</v>
      </c>
      <c r="D194" s="17" t="s">
        <v>172</v>
      </c>
      <c r="E194" s="39">
        <v>300</v>
      </c>
      <c r="F194" s="33">
        <f>300/1000</f>
        <v>0.3</v>
      </c>
      <c r="G194" s="106">
        <v>0</v>
      </c>
      <c r="H194" s="106">
        <v>0</v>
      </c>
      <c r="I194" s="10" t="str">
        <f t="shared" si="44"/>
        <v>Витратні матеріали / Bag plastic for health card 16x22cm, шт.</v>
      </c>
      <c r="J194" s="71">
        <f t="shared" si="43"/>
        <v>0</v>
      </c>
      <c r="K194" s="69">
        <v>0.3</v>
      </c>
    </row>
    <row r="195" spans="1:11" ht="36" customHeight="1" x14ac:dyDescent="0.25">
      <c r="A195" s="243"/>
      <c r="B195" s="118">
        <v>1</v>
      </c>
      <c r="C195" s="33">
        <f t="shared" si="45"/>
        <v>0.01</v>
      </c>
      <c r="D195" s="17" t="s">
        <v>173</v>
      </c>
      <c r="E195" s="39">
        <v>10</v>
      </c>
      <c r="F195" s="33">
        <f>10/1000</f>
        <v>0.01</v>
      </c>
      <c r="G195" s="106">
        <v>0</v>
      </c>
      <c r="H195" s="106">
        <v>0</v>
      </c>
      <c r="I195" s="10" t="str">
        <f t="shared" si="44"/>
        <v>Окуляри захисні, шт.</v>
      </c>
      <c r="J195" s="71">
        <f t="shared" si="43"/>
        <v>0</v>
      </c>
      <c r="K195" s="69">
        <v>0.01</v>
      </c>
    </row>
    <row r="196" spans="1:11" ht="36" customHeight="1" x14ac:dyDescent="0.25">
      <c r="A196" s="243"/>
      <c r="B196" s="118">
        <v>1</v>
      </c>
      <c r="C196" s="33">
        <f t="shared" si="45"/>
        <v>1.1499999999999999</v>
      </c>
      <c r="D196" s="17" t="s">
        <v>174</v>
      </c>
      <c r="E196" s="39">
        <v>1150</v>
      </c>
      <c r="F196" s="33">
        <f>1150/1000</f>
        <v>1.1499999999999999</v>
      </c>
      <c r="G196" s="106">
        <v>0</v>
      </c>
      <c r="H196" s="106">
        <v>0</v>
      </c>
      <c r="I196" s="10" t="str">
        <f t="shared" si="44"/>
        <v>Шприц 10ml</v>
      </c>
      <c r="J196" s="71">
        <f t="shared" si="43"/>
        <v>0</v>
      </c>
      <c r="K196" s="69">
        <v>1.1499999999999999</v>
      </c>
    </row>
    <row r="197" spans="1:11" ht="36" customHeight="1" x14ac:dyDescent="0.25">
      <c r="A197" s="243"/>
      <c r="B197" s="118">
        <v>1</v>
      </c>
      <c r="C197" s="33">
        <f t="shared" si="45"/>
        <v>0.1</v>
      </c>
      <c r="D197" s="17" t="s">
        <v>175</v>
      </c>
      <c r="E197" s="39">
        <v>100</v>
      </c>
      <c r="F197" s="33">
        <f>100/1000</f>
        <v>0.1</v>
      </c>
      <c r="G197" s="106">
        <v>0</v>
      </c>
      <c r="H197" s="106">
        <v>0</v>
      </c>
      <c r="I197" s="10" t="str">
        <f t="shared" si="44"/>
        <v>Шприц 5ml</v>
      </c>
      <c r="J197" s="71">
        <f t="shared" si="43"/>
        <v>0</v>
      </c>
      <c r="K197" s="69">
        <v>0.1</v>
      </c>
    </row>
    <row r="198" spans="1:11" ht="36" customHeight="1" x14ac:dyDescent="0.25">
      <c r="A198" s="243"/>
      <c r="B198" s="118">
        <v>1</v>
      </c>
      <c r="C198" s="33">
        <f t="shared" si="45"/>
        <v>2</v>
      </c>
      <c r="D198" s="17" t="s">
        <v>176</v>
      </c>
      <c r="E198" s="39">
        <v>2000</v>
      </c>
      <c r="F198" s="33">
        <f>2000/1000</f>
        <v>2</v>
      </c>
      <c r="G198" s="106">
        <v>0</v>
      </c>
      <c r="H198" s="106">
        <v>0</v>
      </c>
      <c r="I198" s="10" t="str">
        <f t="shared" si="44"/>
        <v>Шприц 2ml</v>
      </c>
      <c r="J198" s="71">
        <f t="shared" si="43"/>
        <v>0</v>
      </c>
      <c r="K198" s="69">
        <v>2</v>
      </c>
    </row>
    <row r="199" spans="1:11" ht="36" customHeight="1" x14ac:dyDescent="0.25">
      <c r="A199" s="243"/>
      <c r="B199" s="118">
        <v>1</v>
      </c>
      <c r="C199" s="33">
        <f t="shared" si="45"/>
        <v>2</v>
      </c>
      <c r="D199" s="17" t="s">
        <v>176</v>
      </c>
      <c r="E199" s="39">
        <v>2000</v>
      </c>
      <c r="F199" s="33">
        <f>2000/1000</f>
        <v>2</v>
      </c>
      <c r="G199" s="106">
        <v>0</v>
      </c>
      <c r="H199" s="106">
        <v>0</v>
      </c>
      <c r="I199" s="10" t="str">
        <f t="shared" si="44"/>
        <v>Шприц 2ml</v>
      </c>
      <c r="J199" s="71">
        <f t="shared" si="43"/>
        <v>0</v>
      </c>
      <c r="K199" s="69">
        <v>2</v>
      </c>
    </row>
    <row r="200" spans="1:11" ht="36" customHeight="1" x14ac:dyDescent="0.25">
      <c r="A200" s="243"/>
      <c r="B200" s="118">
        <v>1</v>
      </c>
      <c r="C200" s="33">
        <f t="shared" si="45"/>
        <v>1</v>
      </c>
      <c r="D200" s="17" t="s">
        <v>177</v>
      </c>
      <c r="E200" s="39">
        <v>1000</v>
      </c>
      <c r="F200" s="33">
        <f>1000/1000</f>
        <v>1</v>
      </c>
      <c r="G200" s="106">
        <v>0</v>
      </c>
      <c r="H200" s="106">
        <v>0</v>
      </c>
      <c r="I200" s="10" t="str">
        <f t="shared" si="44"/>
        <v>Шприци з голками (різного обсягу) / Шприц одноразовий 3 мл, шт.</v>
      </c>
      <c r="J200" s="71">
        <f t="shared" si="43"/>
        <v>0</v>
      </c>
      <c r="K200" s="69">
        <v>1</v>
      </c>
    </row>
    <row r="201" spans="1:11" ht="36" customHeight="1" x14ac:dyDescent="0.25">
      <c r="A201" s="243"/>
      <c r="B201" s="118">
        <v>1</v>
      </c>
      <c r="C201" s="33">
        <f t="shared" si="45"/>
        <v>0.1</v>
      </c>
      <c r="D201" s="17" t="s">
        <v>178</v>
      </c>
      <c r="E201" s="39">
        <v>100</v>
      </c>
      <c r="F201" s="33">
        <f>100/1000</f>
        <v>0.1</v>
      </c>
      <c r="G201" s="106">
        <v>0</v>
      </c>
      <c r="H201" s="106">
        <v>0</v>
      </c>
      <c r="I201" s="10" t="str">
        <f t="shared" si="44"/>
        <v>Шприци з голками (різного обсягу) / Шприц одноразовий 5 мл, шт.</v>
      </c>
      <c r="J201" s="71">
        <f t="shared" si="43"/>
        <v>0</v>
      </c>
      <c r="K201" s="69">
        <v>0.1</v>
      </c>
    </row>
    <row r="202" spans="1:11" ht="36" customHeight="1" x14ac:dyDescent="0.25">
      <c r="A202" s="243"/>
      <c r="B202" s="118">
        <v>1</v>
      </c>
      <c r="C202" s="33">
        <f t="shared" si="45"/>
        <v>0.2</v>
      </c>
      <c r="D202" s="17" t="s">
        <v>179</v>
      </c>
      <c r="E202" s="39">
        <v>200</v>
      </c>
      <c r="F202" s="33">
        <f>200/1000</f>
        <v>0.2</v>
      </c>
      <c r="G202" s="106">
        <v>0</v>
      </c>
      <c r="H202" s="106">
        <v>0</v>
      </c>
      <c r="I202" s="10" t="str">
        <f t="shared" si="44"/>
        <v xml:space="preserve">Медичні маски / Маска медична захисна, шт. </v>
      </c>
      <c r="J202" s="71">
        <f t="shared" si="43"/>
        <v>0</v>
      </c>
      <c r="K202" s="69">
        <v>0.2</v>
      </c>
    </row>
    <row r="203" spans="1:11" ht="36" customHeight="1" x14ac:dyDescent="0.25">
      <c r="A203" s="243"/>
      <c r="B203" s="118">
        <v>1</v>
      </c>
      <c r="C203" s="33">
        <f t="shared" si="45"/>
        <v>6.7969999999999997</v>
      </c>
      <c r="D203" s="17" t="s">
        <v>180</v>
      </c>
      <c r="E203" s="39">
        <v>100</v>
      </c>
      <c r="F203" s="33">
        <f>6797/1000</f>
        <v>6.7969999999999997</v>
      </c>
      <c r="G203" s="106">
        <v>0</v>
      </c>
      <c r="H203" s="106">
        <v>0</v>
      </c>
      <c r="I203" s="10" t="str">
        <f t="shared" si="44"/>
        <v>Бупівакаїн / Bucain 0,25% 2,5mg/ml 125mg/50ml флакон 50мл, флак.</v>
      </c>
      <c r="J203" s="71">
        <f t="shared" si="43"/>
        <v>0</v>
      </c>
      <c r="K203" s="69">
        <v>6.7969999999999997</v>
      </c>
    </row>
    <row r="204" spans="1:11" ht="36" customHeight="1" x14ac:dyDescent="0.25">
      <c r="A204" s="243"/>
      <c r="B204" s="118">
        <v>1</v>
      </c>
      <c r="C204" s="33">
        <f t="shared" si="45"/>
        <v>4.2779999999999996</v>
      </c>
      <c r="D204" s="17" t="s">
        <v>181</v>
      </c>
      <c r="E204" s="39">
        <v>100</v>
      </c>
      <c r="F204" s="33">
        <f>4278/1000</f>
        <v>4.2779999999999996</v>
      </c>
      <c r="G204" s="106">
        <v>0</v>
      </c>
      <c r="H204" s="106">
        <v>0</v>
      </c>
      <c r="I204" s="10" t="str">
        <f t="shared" si="44"/>
        <v>Бупівакаїн / Bucain 0,25% 2,5mg/ml 50mg/20ml флакон 20мл, флак.</v>
      </c>
      <c r="J204" s="71">
        <f t="shared" si="43"/>
        <v>0</v>
      </c>
      <c r="K204" s="69">
        <f>F204</f>
        <v>4.2779999999999996</v>
      </c>
    </row>
    <row r="205" spans="1:11" ht="36" customHeight="1" x14ac:dyDescent="0.25">
      <c r="A205" s="243"/>
      <c r="B205" s="118">
        <v>1</v>
      </c>
      <c r="C205" s="33">
        <f t="shared" si="45"/>
        <v>35.984999999999999</v>
      </c>
      <c r="D205" s="17" t="s">
        <v>182</v>
      </c>
      <c r="E205" s="39">
        <v>500</v>
      </c>
      <c r="F205" s="33">
        <f>35985/1000</f>
        <v>35.984999999999999</v>
      </c>
      <c r="G205" s="106">
        <v>0</v>
      </c>
      <c r="H205" s="106">
        <v>0</v>
      </c>
      <c r="I205" s="10" t="str">
        <f t="shared" si="44"/>
        <v>Бупівакаїн / Bucain 0,5% 5mg/ml 250mg/50ml флакон, флак.</v>
      </c>
      <c r="J205" s="71">
        <f t="shared" si="43"/>
        <v>0</v>
      </c>
      <c r="K205" s="69">
        <v>35.984999999999999</v>
      </c>
    </row>
    <row r="206" spans="1:11" ht="36" customHeight="1" x14ac:dyDescent="0.25">
      <c r="A206" s="243"/>
      <c r="B206" s="118">
        <v>1</v>
      </c>
      <c r="C206" s="33">
        <f t="shared" si="45"/>
        <v>4.2979840000000005</v>
      </c>
      <c r="D206" s="17" t="s">
        <v>181</v>
      </c>
      <c r="E206" s="39">
        <v>100</v>
      </c>
      <c r="F206" s="33">
        <f>4297.984/1000</f>
        <v>4.2979840000000005</v>
      </c>
      <c r="G206" s="106">
        <v>0</v>
      </c>
      <c r="H206" s="106">
        <v>0</v>
      </c>
      <c r="I206" s="10" t="str">
        <f t="shared" si="44"/>
        <v>Бупівакаїн / Bucain 0,25% 2,5mg/ml 50mg/20ml флакон 20мл, флак.</v>
      </c>
      <c r="J206" s="71">
        <f t="shared" si="43"/>
        <v>0</v>
      </c>
      <c r="K206" s="69">
        <f>F206</f>
        <v>4.2979840000000005</v>
      </c>
    </row>
    <row r="207" spans="1:11" ht="36" customHeight="1" x14ac:dyDescent="0.25">
      <c r="A207" s="243"/>
      <c r="B207" s="118">
        <v>1</v>
      </c>
      <c r="C207" s="33">
        <f t="shared" si="45"/>
        <v>4.798</v>
      </c>
      <c r="D207" s="17" t="s">
        <v>183</v>
      </c>
      <c r="E207" s="39">
        <v>100</v>
      </c>
      <c r="F207" s="33">
        <f>4798/1000</f>
        <v>4.798</v>
      </c>
      <c r="G207" s="106">
        <v>0</v>
      </c>
      <c r="H207" s="106">
        <v>0</v>
      </c>
      <c r="I207" s="10" t="str">
        <f t="shared" si="44"/>
        <v>Бупівакаїн / Bucain 0,25% 2,5mg/ml 50mg/20ml бут., флак.</v>
      </c>
      <c r="J207" s="71">
        <f>F207-K207</f>
        <v>0</v>
      </c>
      <c r="K207" s="69">
        <f>F207</f>
        <v>4.798</v>
      </c>
    </row>
    <row r="208" spans="1:11" ht="36" customHeight="1" thickBot="1" x14ac:dyDescent="0.3">
      <c r="A208" s="243"/>
      <c r="B208" s="120">
        <v>1</v>
      </c>
      <c r="C208" s="35">
        <f t="shared" si="45"/>
        <v>7.2</v>
      </c>
      <c r="D208" s="36" t="s">
        <v>184</v>
      </c>
      <c r="E208" s="40">
        <v>7200</v>
      </c>
      <c r="F208" s="35">
        <f>7200/1000</f>
        <v>7.2</v>
      </c>
      <c r="G208" s="115">
        <v>0</v>
      </c>
      <c r="H208" s="115">
        <v>0</v>
      </c>
      <c r="I208" s="22" t="str">
        <f t="shared" si="44"/>
        <v>Вітаміни / Мінісан 5 мкг 200МЕ (віт.Д3), шт.</v>
      </c>
      <c r="J208" s="73">
        <f>F208-K208</f>
        <v>7.2</v>
      </c>
      <c r="K208" s="74">
        <v>0</v>
      </c>
    </row>
    <row r="209" spans="1:14" ht="47.25" customHeight="1" x14ac:dyDescent="0.25">
      <c r="A209" s="243"/>
      <c r="B209" s="248" t="s">
        <v>122</v>
      </c>
      <c r="C209" s="249"/>
      <c r="D209" s="249"/>
      <c r="E209" s="250"/>
      <c r="F209" s="23">
        <f>F210+F211</f>
        <v>21.4</v>
      </c>
      <c r="G209" s="221" t="s">
        <v>122</v>
      </c>
      <c r="H209" s="221"/>
      <c r="I209" s="221"/>
      <c r="J209" s="75">
        <f>J210+J211</f>
        <v>21.4</v>
      </c>
      <c r="K209" s="138">
        <v>0</v>
      </c>
    </row>
    <row r="210" spans="1:14" ht="30.75" customHeight="1" x14ac:dyDescent="0.25">
      <c r="A210" s="243"/>
      <c r="B210" s="118">
        <v>1</v>
      </c>
      <c r="C210" s="33">
        <f t="shared" ref="C210:C211" si="46">F209:F210</f>
        <v>20</v>
      </c>
      <c r="D210" s="38" t="s">
        <v>185</v>
      </c>
      <c r="E210" s="39">
        <v>2</v>
      </c>
      <c r="F210" s="139">
        <f>20000/1000</f>
        <v>20</v>
      </c>
      <c r="G210" s="106">
        <v>0</v>
      </c>
      <c r="H210" s="106">
        <v>0</v>
      </c>
      <c r="I210" s="10" t="str">
        <f t="shared" ref="I210:I211" si="47">D210</f>
        <v>Ліжко лікарняне Stryker 7600-000-900 Emergency Relief bed</v>
      </c>
      <c r="J210" s="66">
        <f t="shared" ref="J210:J211" si="48">F210</f>
        <v>20</v>
      </c>
      <c r="K210" s="140">
        <v>0</v>
      </c>
    </row>
    <row r="211" spans="1:14" ht="30.75" customHeight="1" thickBot="1" x14ac:dyDescent="0.3">
      <c r="A211" s="243"/>
      <c r="B211" s="119">
        <v>1</v>
      </c>
      <c r="C211" s="87">
        <f t="shared" si="46"/>
        <v>1.4</v>
      </c>
      <c r="D211" s="98" t="s">
        <v>186</v>
      </c>
      <c r="E211" s="99">
        <v>2</v>
      </c>
      <c r="F211" s="141">
        <f>1400/1000</f>
        <v>1.4</v>
      </c>
      <c r="G211" s="107">
        <v>0</v>
      </c>
      <c r="H211" s="107">
        <v>0</v>
      </c>
      <c r="I211" s="14" t="str">
        <f t="shared" si="47"/>
        <v>Матрац</v>
      </c>
      <c r="J211" s="77">
        <f t="shared" si="48"/>
        <v>1.4</v>
      </c>
      <c r="K211" s="142">
        <v>0</v>
      </c>
    </row>
    <row r="212" spans="1:14" ht="54" customHeight="1" x14ac:dyDescent="0.25">
      <c r="A212" s="243"/>
      <c r="B212" s="220" t="s">
        <v>117</v>
      </c>
      <c r="C212" s="221"/>
      <c r="D212" s="221"/>
      <c r="E212" s="221"/>
      <c r="F212" s="30">
        <f>F213+F214+F215+F216</f>
        <v>4.0000000000000001E-3</v>
      </c>
      <c r="G212" s="221" t="s">
        <v>117</v>
      </c>
      <c r="H212" s="221"/>
      <c r="I212" s="221"/>
      <c r="J212" s="105">
        <f>J213+J214+J215+J216</f>
        <v>4.0000000000000001E-3</v>
      </c>
      <c r="K212" s="138">
        <v>0</v>
      </c>
    </row>
    <row r="213" spans="1:14" ht="33.75" customHeight="1" x14ac:dyDescent="0.25">
      <c r="A213" s="243"/>
      <c r="B213" s="118">
        <v>1</v>
      </c>
      <c r="C213" s="7">
        <f t="shared" ref="C213" si="49">F212:F213</f>
        <v>1E-3</v>
      </c>
      <c r="D213" s="17" t="s">
        <v>187</v>
      </c>
      <c r="E213" s="42">
        <v>1</v>
      </c>
      <c r="F213" s="41">
        <f>1/1000</f>
        <v>1E-3</v>
      </c>
      <c r="G213" s="106">
        <v>0</v>
      </c>
      <c r="H213" s="106">
        <v>0</v>
      </c>
      <c r="I213" s="10" t="str">
        <f t="shared" ref="I213:I216" si="50">D213</f>
        <v>Модуль для монітора пацієнта</v>
      </c>
      <c r="J213" s="71">
        <f t="shared" ref="J213:J221" si="51">F213</f>
        <v>1E-3</v>
      </c>
      <c r="K213" s="140">
        <v>0</v>
      </c>
    </row>
    <row r="214" spans="1:14" ht="33.75" customHeight="1" x14ac:dyDescent="0.25">
      <c r="A214" s="243"/>
      <c r="B214" s="118">
        <v>1</v>
      </c>
      <c r="C214" s="7">
        <f>F213:F214</f>
        <v>1E-3</v>
      </c>
      <c r="D214" s="17" t="s">
        <v>188</v>
      </c>
      <c r="E214" s="42">
        <v>1</v>
      </c>
      <c r="F214" s="41">
        <f>1/1000</f>
        <v>1E-3</v>
      </c>
      <c r="G214" s="106">
        <v>0</v>
      </c>
      <c r="H214" s="106">
        <v>0</v>
      </c>
      <c r="I214" s="10" t="str">
        <f>D214</f>
        <v>Апарат моніторінгу кардіотокографії</v>
      </c>
      <c r="J214" s="71">
        <f>F214</f>
        <v>1E-3</v>
      </c>
      <c r="K214" s="140">
        <v>0</v>
      </c>
    </row>
    <row r="215" spans="1:14" ht="33.75" customHeight="1" x14ac:dyDescent="0.25">
      <c r="A215" s="243"/>
      <c r="B215" s="118">
        <v>1</v>
      </c>
      <c r="C215" s="7">
        <f>F214:F215</f>
        <v>1E-3</v>
      </c>
      <c r="D215" s="17" t="s">
        <v>189</v>
      </c>
      <c r="E215" s="42">
        <v>1</v>
      </c>
      <c r="F215" s="41">
        <f>1/1000</f>
        <v>1E-3</v>
      </c>
      <c r="G215" s="106">
        <v>0</v>
      </c>
      <c r="H215" s="106">
        <v>0</v>
      </c>
      <c r="I215" s="10" t="str">
        <f>D215</f>
        <v>Апарат штучної вентиляції легенів Venslstor VG70 E TIP 608/n/a</v>
      </c>
      <c r="J215" s="71">
        <f>F215</f>
        <v>1E-3</v>
      </c>
      <c r="K215" s="140">
        <v>0</v>
      </c>
    </row>
    <row r="216" spans="1:14" ht="51" customHeight="1" thickBot="1" x14ac:dyDescent="0.3">
      <c r="A216" s="244"/>
      <c r="B216" s="120">
        <v>1</v>
      </c>
      <c r="C216" s="20">
        <f>F215:F216</f>
        <v>1E-3</v>
      </c>
      <c r="D216" s="36" t="s">
        <v>190</v>
      </c>
      <c r="E216" s="43">
        <v>1</v>
      </c>
      <c r="F216" s="100">
        <f>1/1000</f>
        <v>1E-3</v>
      </c>
      <c r="G216" s="115">
        <v>0</v>
      </c>
      <c r="H216" s="115">
        <v>0</v>
      </c>
      <c r="I216" s="22" t="str">
        <f t="shared" si="50"/>
        <v>Обладнання /Апарат моніторингу кардіографії /Candiolocodraphymonitiring device n/a</v>
      </c>
      <c r="J216" s="101">
        <f t="shared" si="51"/>
        <v>1E-3</v>
      </c>
      <c r="K216" s="153">
        <v>0</v>
      </c>
    </row>
    <row r="217" spans="1:14" ht="42.75" customHeight="1" x14ac:dyDescent="0.25">
      <c r="A217" s="231" t="s">
        <v>191</v>
      </c>
      <c r="B217" s="220" t="s">
        <v>122</v>
      </c>
      <c r="C217" s="221"/>
      <c r="D217" s="221"/>
      <c r="E217" s="221"/>
      <c r="F217" s="23">
        <f>F218+F219+F220+F221</f>
        <v>161.50385</v>
      </c>
      <c r="G217" s="221" t="s">
        <v>122</v>
      </c>
      <c r="H217" s="221"/>
      <c r="I217" s="221"/>
      <c r="J217" s="76">
        <f t="shared" si="51"/>
        <v>161.50385</v>
      </c>
      <c r="K217" s="138">
        <v>0</v>
      </c>
    </row>
    <row r="218" spans="1:14" ht="44.25" customHeight="1" x14ac:dyDescent="0.25">
      <c r="A218" s="232"/>
      <c r="B218" s="118">
        <v>1</v>
      </c>
      <c r="C218" s="7">
        <f t="shared" ref="C218:C221" si="52">F217:F218</f>
        <v>30.103400000000001</v>
      </c>
      <c r="D218" s="17" t="s">
        <v>192</v>
      </c>
      <c r="E218" s="42">
        <v>20</v>
      </c>
      <c r="F218" s="7">
        <f>30103.4/1000</f>
        <v>30.103400000000001</v>
      </c>
      <c r="G218" s="106">
        <v>0</v>
      </c>
      <c r="H218" s="106">
        <v>0</v>
      </c>
      <c r="I218" s="10" t="str">
        <f t="shared" ref="I218:I221" si="53">D218</f>
        <v>Сонячний світильник ScheiderElectric mobiya Lite AEP LL01-5100</v>
      </c>
      <c r="J218" s="66">
        <f t="shared" si="51"/>
        <v>30.103400000000001</v>
      </c>
      <c r="K218" s="140">
        <v>0</v>
      </c>
    </row>
    <row r="219" spans="1:14" ht="44.25" customHeight="1" x14ac:dyDescent="0.25">
      <c r="A219" s="232"/>
      <c r="B219" s="118">
        <v>1</v>
      </c>
      <c r="C219" s="7">
        <f t="shared" si="52"/>
        <v>3.1449000000000003</v>
      </c>
      <c r="D219" s="17" t="s">
        <v>193</v>
      </c>
      <c r="E219" s="42">
        <v>10</v>
      </c>
      <c r="F219" s="7">
        <f>3144.9/1000</f>
        <v>3.1449000000000003</v>
      </c>
      <c r="G219" s="106">
        <v>0</v>
      </c>
      <c r="H219" s="106">
        <v>0</v>
      </c>
      <c r="I219" s="10" t="str">
        <f t="shared" si="53"/>
        <v xml:space="preserve"> Обігрівач конвекторний BY 1208</v>
      </c>
      <c r="J219" s="66">
        <f t="shared" si="51"/>
        <v>3.1449000000000003</v>
      </c>
      <c r="K219" s="140">
        <v>0</v>
      </c>
    </row>
    <row r="220" spans="1:14" ht="44.25" customHeight="1" x14ac:dyDescent="0.25">
      <c r="A220" s="232"/>
      <c r="B220" s="118">
        <v>1</v>
      </c>
      <c r="C220" s="7">
        <f t="shared" si="52"/>
        <v>57.242750000000001</v>
      </c>
      <c r="D220" s="17" t="s">
        <v>194</v>
      </c>
      <c r="E220" s="42">
        <v>5</v>
      </c>
      <c r="F220" s="7">
        <f>57242.75/1000</f>
        <v>57.242750000000001</v>
      </c>
      <c r="G220" s="106">
        <v>0</v>
      </c>
      <c r="H220" s="106">
        <v>0</v>
      </c>
      <c r="I220" s="10" t="str">
        <f t="shared" si="53"/>
        <v>Нагрівач мат Cable lhpe 420 W A 691673</v>
      </c>
      <c r="J220" s="66">
        <f t="shared" si="51"/>
        <v>57.242750000000001</v>
      </c>
      <c r="K220" s="140">
        <v>0</v>
      </c>
    </row>
    <row r="221" spans="1:14" ht="44.25" customHeight="1" thickBot="1" x14ac:dyDescent="0.3">
      <c r="A221" s="232"/>
      <c r="B221" s="119">
        <v>1</v>
      </c>
      <c r="C221" s="13">
        <f t="shared" si="52"/>
        <v>71.012799999999999</v>
      </c>
      <c r="D221" s="29" t="s">
        <v>195</v>
      </c>
      <c r="E221" s="102">
        <v>5</v>
      </c>
      <c r="F221" s="13">
        <f>71012.8/1000</f>
        <v>71.012799999999999</v>
      </c>
      <c r="G221" s="107">
        <v>0</v>
      </c>
      <c r="H221" s="107">
        <v>0</v>
      </c>
      <c r="I221" s="14" t="str">
        <f t="shared" si="53"/>
        <v>Нагрівач мат Cable lhpe 520 W A 691674</v>
      </c>
      <c r="J221" s="77">
        <f t="shared" si="51"/>
        <v>71.012799999999999</v>
      </c>
      <c r="K221" s="142">
        <v>0</v>
      </c>
    </row>
    <row r="222" spans="1:14" ht="43.5" customHeight="1" x14ac:dyDescent="0.25">
      <c r="A222" s="232"/>
      <c r="B222" s="220" t="s">
        <v>117</v>
      </c>
      <c r="C222" s="221"/>
      <c r="D222" s="221"/>
      <c r="E222" s="221"/>
      <c r="F222" s="23">
        <f>F223</f>
        <v>20.066759999999999</v>
      </c>
      <c r="G222" s="222" t="s">
        <v>117</v>
      </c>
      <c r="H222" s="223"/>
      <c r="I222" s="224"/>
      <c r="J222" s="75">
        <f>J223</f>
        <v>20.066759999999999</v>
      </c>
      <c r="K222" s="138">
        <v>0</v>
      </c>
    </row>
    <row r="223" spans="1:14" ht="69.75" customHeight="1" thickBot="1" x14ac:dyDescent="0.3">
      <c r="A223" s="232"/>
      <c r="B223" s="119">
        <v>1</v>
      </c>
      <c r="C223" s="13">
        <f t="shared" ref="C223" si="54">F222:F223</f>
        <v>20.066759999999999</v>
      </c>
      <c r="D223" s="14" t="s">
        <v>196</v>
      </c>
      <c r="E223" s="15">
        <v>1</v>
      </c>
      <c r="F223" s="13">
        <f>20066.76/1000</f>
        <v>20.066759999999999</v>
      </c>
      <c r="G223" s="107">
        <v>0</v>
      </c>
      <c r="H223" s="107">
        <v>0</v>
      </c>
      <c r="I223" s="14" t="str">
        <f t="shared" ref="I223" si="55">D223</f>
        <v xml:space="preserve"> Продовжувач на катушці Legrand H07RNF 3g2/5mm)(25m)50758</v>
      </c>
      <c r="J223" s="77">
        <f t="shared" ref="J223" si="56">F223</f>
        <v>20.066759999999999</v>
      </c>
      <c r="K223" s="142">
        <v>0</v>
      </c>
      <c r="N223" s="7">
        <f>N1+N61+N110+N113+N127+N130+N134+N138+N203+N206+N211+N216+N218</f>
        <v>0</v>
      </c>
    </row>
    <row r="224" spans="1:14" ht="62.25" customHeight="1" x14ac:dyDescent="0.25">
      <c r="A224" s="233" t="s">
        <v>197</v>
      </c>
      <c r="B224" s="235" t="s">
        <v>122</v>
      </c>
      <c r="C224" s="236"/>
      <c r="D224" s="236"/>
      <c r="E224" s="44"/>
      <c r="F224" s="23">
        <f>F226+F227+F228+F225</f>
        <v>66.878050000000002</v>
      </c>
      <c r="G224" s="237" t="s">
        <v>122</v>
      </c>
      <c r="H224" s="238"/>
      <c r="I224" s="239"/>
      <c r="J224" s="84">
        <f>J226+J227+J228+J225</f>
        <v>66.878050000000002</v>
      </c>
      <c r="K224" s="138">
        <v>0</v>
      </c>
    </row>
    <row r="225" spans="1:19" ht="54.75" customHeight="1" x14ac:dyDescent="0.25">
      <c r="A225" s="234"/>
      <c r="B225" s="121">
        <v>1</v>
      </c>
      <c r="C225" s="46">
        <f>F223:F225</f>
        <v>15</v>
      </c>
      <c r="D225" s="31" t="s">
        <v>198</v>
      </c>
      <c r="E225" s="47">
        <v>1</v>
      </c>
      <c r="F225" s="7">
        <f>15000/1000</f>
        <v>15</v>
      </c>
      <c r="G225" s="116">
        <v>0</v>
      </c>
      <c r="H225" s="106">
        <v>0</v>
      </c>
      <c r="I225" s="10" t="str">
        <f t="shared" ref="I225:I228" si="57">D225</f>
        <v>Бетонна плита під генератор з монтажем</v>
      </c>
      <c r="J225" s="79">
        <f t="shared" ref="J225:J228" si="58">F225</f>
        <v>15</v>
      </c>
      <c r="K225" s="140">
        <v>0</v>
      </c>
    </row>
    <row r="226" spans="1:19" ht="48" customHeight="1" x14ac:dyDescent="0.25">
      <c r="A226" s="234"/>
      <c r="B226" s="118">
        <v>1</v>
      </c>
      <c r="C226" s="7">
        <f>F224:F226</f>
        <v>38.031349999999996</v>
      </c>
      <c r="D226" s="48" t="s">
        <v>199</v>
      </c>
      <c r="E226" s="49">
        <v>5</v>
      </c>
      <c r="F226" s="7">
        <f>38031.35/1000</f>
        <v>38.031349999999996</v>
      </c>
      <c r="G226" s="106">
        <v>0</v>
      </c>
      <c r="H226" s="106">
        <v>0</v>
      </c>
      <c r="I226" s="10" t="str">
        <f t="shared" si="57"/>
        <v>Комплект грілка - переноска для немовлят / Embrace Nest Infant Warmer Starter</v>
      </c>
      <c r="J226" s="79">
        <f t="shared" si="58"/>
        <v>38.031349999999996</v>
      </c>
      <c r="K226" s="140">
        <v>0</v>
      </c>
    </row>
    <row r="227" spans="1:19" ht="38.25" customHeight="1" x14ac:dyDescent="0.25">
      <c r="A227" s="234"/>
      <c r="B227" s="118">
        <v>1</v>
      </c>
      <c r="C227" s="7">
        <f t="shared" ref="C227:C228" si="59">F226:F227</f>
        <v>6.4251000000000005</v>
      </c>
      <c r="D227" s="48" t="s">
        <v>200</v>
      </c>
      <c r="E227" s="50">
        <v>5</v>
      </c>
      <c r="F227" s="7">
        <f>6425.1/1000</f>
        <v>6.4251000000000005</v>
      </c>
      <c r="G227" s="106">
        <v>0</v>
      </c>
      <c r="H227" s="106">
        <v>0</v>
      </c>
      <c r="I227" s="10" t="str">
        <f t="shared" si="57"/>
        <v>Переноска  /Baby Wrap Embrace</v>
      </c>
      <c r="J227" s="79">
        <f t="shared" si="58"/>
        <v>6.4251000000000005</v>
      </c>
      <c r="K227" s="140">
        <v>0</v>
      </c>
    </row>
    <row r="228" spans="1:19" ht="84.75" customHeight="1" thickBot="1" x14ac:dyDescent="0.3">
      <c r="A228" s="234"/>
      <c r="B228" s="119">
        <v>1</v>
      </c>
      <c r="C228" s="13">
        <f t="shared" si="59"/>
        <v>7.4216000000000006</v>
      </c>
      <c r="D228" s="103" t="s">
        <v>201</v>
      </c>
      <c r="E228" s="104">
        <v>5</v>
      </c>
      <c r="F228" s="13">
        <f>7421.6/1000</f>
        <v>7.4216000000000006</v>
      </c>
      <c r="G228" s="107">
        <v>0</v>
      </c>
      <c r="H228" s="107">
        <v>0</v>
      </c>
      <c r="I228" s="14" t="str">
        <f t="shared" si="57"/>
        <v>Тепловий елемент / Warm Pack Embrace</v>
      </c>
      <c r="J228" s="83">
        <f t="shared" si="58"/>
        <v>7.4216000000000006</v>
      </c>
      <c r="K228" s="142">
        <v>0</v>
      </c>
    </row>
    <row r="229" spans="1:19" ht="61.5" customHeight="1" thickBot="1" x14ac:dyDescent="0.3">
      <c r="A229" s="225" t="s">
        <v>202</v>
      </c>
      <c r="B229" s="226"/>
      <c r="C229" s="226"/>
      <c r="D229" s="226"/>
      <c r="E229" s="227"/>
      <c r="F229" s="155">
        <f>F5+F67+F116+F119+F133+F136+F140+F144+F209+F212+F217+F222+F224</f>
        <v>1027.7805019999998</v>
      </c>
      <c r="G229" s="228" t="s">
        <v>202</v>
      </c>
      <c r="H229" s="229"/>
      <c r="I229" s="230"/>
      <c r="J229" s="156">
        <f>J5+J67+J116+J119+J133+J136+J140+J144+J209+J212+J217+J222+J224</f>
        <v>559.12311</v>
      </c>
      <c r="K229" s="157">
        <f>K5+K67+K116+K119+K133+K136+K140+K144+K209+K212+K217+K222+K224</f>
        <v>468.65739200000002</v>
      </c>
    </row>
    <row r="231" spans="1:19" s="123" customFormat="1" ht="18" x14ac:dyDescent="0.35">
      <c r="B231" s="124"/>
      <c r="C231" s="52"/>
      <c r="D231" s="125" t="s">
        <v>203</v>
      </c>
      <c r="E231" s="126"/>
      <c r="F231" s="52"/>
      <c r="G231" s="124"/>
      <c r="H231" s="124"/>
      <c r="I231" s="127"/>
      <c r="J231" s="86"/>
      <c r="K231" s="122"/>
      <c r="L231" s="128"/>
      <c r="M231" s="128"/>
      <c r="N231" s="128"/>
      <c r="O231" s="128"/>
      <c r="P231" s="128"/>
      <c r="Q231" s="128"/>
      <c r="R231" s="128"/>
      <c r="S231" s="128"/>
    </row>
    <row r="232" spans="1:19" s="123" customFormat="1" ht="18" x14ac:dyDescent="0.35">
      <c r="B232" s="124"/>
      <c r="C232" s="52"/>
      <c r="D232" s="127"/>
      <c r="E232" s="126"/>
      <c r="F232" s="52"/>
      <c r="G232" s="124"/>
      <c r="H232" s="124"/>
      <c r="I232" s="127"/>
      <c r="J232" s="86"/>
      <c r="K232" s="122"/>
      <c r="L232" s="128"/>
      <c r="M232" s="128"/>
      <c r="N232" s="128"/>
      <c r="O232" s="128"/>
      <c r="P232" s="128"/>
      <c r="Q232" s="128"/>
      <c r="R232" s="128"/>
      <c r="S232" s="128"/>
    </row>
    <row r="233" spans="1:19" s="123" customFormat="1" ht="30" customHeight="1" x14ac:dyDescent="0.35">
      <c r="B233" s="124"/>
      <c r="C233" s="52"/>
      <c r="D233" s="129" t="s">
        <v>204</v>
      </c>
      <c r="E233" s="126" t="s">
        <v>205</v>
      </c>
      <c r="F233" s="52"/>
      <c r="G233" s="124" t="s">
        <v>206</v>
      </c>
      <c r="H233" s="124"/>
      <c r="I233" s="127"/>
      <c r="J233" s="86"/>
      <c r="K233" s="122"/>
      <c r="L233" s="128"/>
      <c r="M233" s="128"/>
      <c r="N233" s="128"/>
      <c r="O233" s="128"/>
      <c r="P233" s="128"/>
      <c r="Q233" s="128"/>
      <c r="R233" s="128"/>
      <c r="S233" s="128"/>
    </row>
    <row r="234" spans="1:19" s="123" customFormat="1" ht="18" x14ac:dyDescent="0.35">
      <c r="B234" s="124"/>
      <c r="C234" s="52"/>
      <c r="D234" s="127"/>
      <c r="E234" s="126"/>
      <c r="F234" s="52"/>
      <c r="G234" s="124"/>
      <c r="H234" s="124"/>
      <c r="I234" s="127"/>
      <c r="J234" s="86"/>
      <c r="K234" s="122"/>
      <c r="L234" s="128"/>
      <c r="M234" s="128"/>
      <c r="N234" s="128"/>
      <c r="O234" s="128"/>
      <c r="P234" s="128"/>
      <c r="Q234" s="128"/>
      <c r="R234" s="128"/>
      <c r="S234" s="128"/>
    </row>
    <row r="235" spans="1:19" s="123" customFormat="1" ht="18" x14ac:dyDescent="0.35">
      <c r="B235" s="124"/>
      <c r="C235" s="52"/>
      <c r="D235" s="125" t="s">
        <v>207</v>
      </c>
      <c r="E235" s="126"/>
      <c r="F235" s="52"/>
      <c r="G235" s="124"/>
      <c r="H235" s="124"/>
      <c r="I235" s="127"/>
      <c r="J235" s="86"/>
      <c r="K235" s="122"/>
      <c r="L235" s="128"/>
      <c r="M235" s="128"/>
      <c r="N235" s="128"/>
      <c r="O235" s="128"/>
      <c r="P235" s="128"/>
      <c r="Q235" s="128"/>
      <c r="R235" s="128"/>
      <c r="S235" s="128"/>
    </row>
    <row r="236" spans="1:19" s="123" customFormat="1" ht="43.5" customHeight="1" x14ac:dyDescent="0.35">
      <c r="B236" s="124"/>
      <c r="C236" s="52"/>
      <c r="D236" s="130" t="s">
        <v>208</v>
      </c>
      <c r="E236" s="126" t="s">
        <v>209</v>
      </c>
      <c r="F236" s="52"/>
      <c r="G236" s="124" t="s">
        <v>210</v>
      </c>
      <c r="H236" s="124"/>
      <c r="I236" s="127"/>
      <c r="J236" s="86"/>
      <c r="K236" s="122"/>
      <c r="L236" s="128"/>
      <c r="M236" s="128"/>
      <c r="N236" s="128"/>
      <c r="O236" s="128"/>
      <c r="P236" s="128"/>
      <c r="Q236" s="128"/>
      <c r="R236" s="128"/>
      <c r="S236" s="128"/>
    </row>
    <row r="237" spans="1:19" s="123" customFormat="1" ht="42.75" customHeight="1" x14ac:dyDescent="0.35">
      <c r="B237" s="124"/>
      <c r="C237" s="52"/>
      <c r="D237" s="130" t="s">
        <v>211</v>
      </c>
      <c r="E237" s="126" t="s">
        <v>209</v>
      </c>
      <c r="F237" s="52"/>
      <c r="G237" s="124" t="s">
        <v>212</v>
      </c>
      <c r="H237" s="124"/>
      <c r="I237" s="127"/>
      <c r="J237" s="86"/>
      <c r="K237" s="122"/>
      <c r="L237" s="128"/>
      <c r="M237" s="128"/>
      <c r="N237" s="128"/>
      <c r="O237" s="128"/>
      <c r="P237" s="128"/>
      <c r="Q237" s="128"/>
      <c r="R237" s="128"/>
      <c r="S237" s="128"/>
    </row>
    <row r="238" spans="1:19" s="123" customFormat="1" ht="55.5" customHeight="1" x14ac:dyDescent="0.35">
      <c r="B238" s="124"/>
      <c r="C238" s="52"/>
      <c r="D238" s="130" t="s">
        <v>213</v>
      </c>
      <c r="E238" s="126" t="s">
        <v>209</v>
      </c>
      <c r="F238" s="52"/>
      <c r="G238" s="124" t="s">
        <v>214</v>
      </c>
      <c r="H238" s="124"/>
      <c r="I238" s="127"/>
      <c r="J238" s="86"/>
      <c r="K238" s="122"/>
      <c r="L238" s="128"/>
      <c r="M238" s="128"/>
      <c r="N238" s="128"/>
      <c r="O238" s="128"/>
      <c r="P238" s="128"/>
      <c r="Q238" s="128"/>
      <c r="R238" s="128"/>
      <c r="S238" s="128"/>
    </row>
    <row r="239" spans="1:19" x14ac:dyDescent="0.25">
      <c r="D239" s="3"/>
    </row>
  </sheetData>
  <mergeCells count="73">
    <mergeCell ref="B145:E145"/>
    <mergeCell ref="G145:I145"/>
    <mergeCell ref="B168:E168"/>
    <mergeCell ref="A224:A228"/>
    <mergeCell ref="B224:D224"/>
    <mergeCell ref="G168:I168"/>
    <mergeCell ref="B209:E209"/>
    <mergeCell ref="G209:I209"/>
    <mergeCell ref="B212:E212"/>
    <mergeCell ref="G212:I212"/>
    <mergeCell ref="A217:A223"/>
    <mergeCell ref="B217:E217"/>
    <mergeCell ref="G217:I217"/>
    <mergeCell ref="B222:E222"/>
    <mergeCell ref="B136:E136"/>
    <mergeCell ref="G136:I136"/>
    <mergeCell ref="B140:E140"/>
    <mergeCell ref="G140:I140"/>
    <mergeCell ref="B144:E144"/>
    <mergeCell ref="G144:I144"/>
    <mergeCell ref="B116:E116"/>
    <mergeCell ref="G116:I116"/>
    <mergeCell ref="B119:D119"/>
    <mergeCell ref="G119:I119"/>
    <mergeCell ref="B133:E133"/>
    <mergeCell ref="G133:I133"/>
    <mergeCell ref="B107:E107"/>
    <mergeCell ref="G107:I107"/>
    <mergeCell ref="B110:E110"/>
    <mergeCell ref="G110:I110"/>
    <mergeCell ref="B112:E112"/>
    <mergeCell ref="G112:I112"/>
    <mergeCell ref="B96:E96"/>
    <mergeCell ref="G96:I96"/>
    <mergeCell ref="B99:E99"/>
    <mergeCell ref="G99:I99"/>
    <mergeCell ref="B101:E101"/>
    <mergeCell ref="G101:I101"/>
    <mergeCell ref="B82:E82"/>
    <mergeCell ref="G82:I82"/>
    <mergeCell ref="B90:E90"/>
    <mergeCell ref="G90:I90"/>
    <mergeCell ref="B93:E93"/>
    <mergeCell ref="G93:I93"/>
    <mergeCell ref="A4:K4"/>
    <mergeCell ref="B5:E5"/>
    <mergeCell ref="G5:I5"/>
    <mergeCell ref="B67:E67"/>
    <mergeCell ref="G67:I67"/>
    <mergeCell ref="A1:K1"/>
    <mergeCell ref="A2:A3"/>
    <mergeCell ref="B2:C2"/>
    <mergeCell ref="D2:D3"/>
    <mergeCell ref="E2:E3"/>
    <mergeCell ref="F2:F3"/>
    <mergeCell ref="G2:J2"/>
    <mergeCell ref="K2:K3"/>
    <mergeCell ref="A229:E229"/>
    <mergeCell ref="G222:I222"/>
    <mergeCell ref="G224:I224"/>
    <mergeCell ref="A5:A34"/>
    <mergeCell ref="A35:A66"/>
    <mergeCell ref="A67:A89"/>
    <mergeCell ref="A90:A115"/>
    <mergeCell ref="A116:A139"/>
    <mergeCell ref="A140:A167"/>
    <mergeCell ref="A168:A192"/>
    <mergeCell ref="A193:A216"/>
    <mergeCell ref="G229:I229"/>
    <mergeCell ref="B68:E68"/>
    <mergeCell ref="G68:I68"/>
    <mergeCell ref="B74:E74"/>
    <mergeCell ref="G74:I74"/>
  </mergeCells>
  <pageMargins left="0" right="0" top="0" bottom="0" header="0" footer="0"/>
  <pageSetup paperSize="9" scale="56" orientation="landscape" r:id="rId1"/>
  <rowBreaks count="8" manualBreakCount="8">
    <brk id="34" max="10" man="1"/>
    <brk id="66" max="10" man="1"/>
    <brk id="89" max="10" man="1"/>
    <brk id="115" max="10" man="1"/>
    <brk id="139" max="10" man="1"/>
    <brk id="167" max="10" man="1"/>
    <brk id="192" max="10" man="1"/>
    <brk id="216" max="10" man="1"/>
  </rowBreaks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СТЕНД  3 квартал 2023  (2)</vt:lpstr>
      <vt:lpstr>СТЕНД  3 квартал 2023 </vt:lpstr>
      <vt:lpstr>СТЕНД  2 квартал 2023</vt:lpstr>
      <vt:lpstr>СТЕНД  1 квартал</vt:lpstr>
      <vt:lpstr>Лист1</vt:lpstr>
      <vt:lpstr>'СТЕНД  1 квартал'!Область_печати</vt:lpstr>
      <vt:lpstr>'СТЕНД  2 квартал 2023'!Область_печати</vt:lpstr>
      <vt:lpstr>'СТЕНД  3 квартал 2023  (2)'!Область_печати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2023-10-09T11:35:16Z</cp:lastPrinted>
  <dcterms:created xsi:type="dcterms:W3CDTF">2023-04-07T12:18:24Z</dcterms:created>
  <dcterms:modified xsi:type="dcterms:W3CDTF">2023-10-09T11:36:24Z</dcterms:modified>
</cp:coreProperties>
</file>